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8" windowWidth="14808" windowHeight="7956" activeTab="1"/>
  </bookViews>
  <sheets>
    <sheet name="Лист1" sheetId="1" r:id="rId1"/>
    <sheet name="Лист2" sheetId="4" r:id="rId2"/>
    <sheet name="Лист2 (2)" sheetId="5" r:id="rId3"/>
    <sheet name="Лист2 (3)" sheetId="6" r:id="rId4"/>
    <sheet name="Лист3" sheetId="3" r:id="rId5"/>
  </sheets>
  <definedNames>
    <definedName name="а">Лист1!$C$44</definedName>
    <definedName name="а1">Лист1!$I$44</definedName>
    <definedName name="а2">Лист1!$O$44</definedName>
    <definedName name="а3">Лист1!$U$44</definedName>
    <definedName name="в" localSheetId="2">'Лист2 (2)'!$M$44</definedName>
    <definedName name="в" localSheetId="3">'Лист2 (3)'!$M$44</definedName>
    <definedName name="в">Лист2!$C$44</definedName>
    <definedName name="в1" localSheetId="2">'Лист2 (2)'!$S$44</definedName>
    <definedName name="в1" localSheetId="3">'Лист2 (3)'!$S$44</definedName>
    <definedName name="в1">Лист2!$I$44</definedName>
    <definedName name="в2" localSheetId="2">'Лист2 (2)'!$Y$44</definedName>
    <definedName name="в2" localSheetId="3">'Лист2 (3)'!$Y$44</definedName>
    <definedName name="в2">Лист2!$O$44</definedName>
    <definedName name="в3" localSheetId="2">'Лист2 (2)'!$AE$44</definedName>
    <definedName name="в3" localSheetId="3">'Лист2 (3)'!$AE$44</definedName>
    <definedName name="в3">Лист2!$U$44</definedName>
    <definedName name="г" localSheetId="2">'Лист2 (2)'!$O$44</definedName>
    <definedName name="г" localSheetId="3">'Лист2 (3)'!$O$44</definedName>
    <definedName name="г">Лист2!$E$44</definedName>
    <definedName name="г1" localSheetId="2">'Лист2 (2)'!$U$44</definedName>
    <definedName name="г1" localSheetId="3">'Лист2 (3)'!$U$44</definedName>
    <definedName name="г1">Лист2!$K$44</definedName>
    <definedName name="г2" localSheetId="2">'Лист2 (2)'!$AA$44</definedName>
    <definedName name="г2" localSheetId="3">'Лист2 (3)'!$AA$44</definedName>
    <definedName name="г2">Лист2!$Q$44</definedName>
    <definedName name="г3" localSheetId="2">'Лист2 (2)'!$AG$44</definedName>
    <definedName name="г3" localSheetId="3">'Лист2 (3)'!$AG$44</definedName>
    <definedName name="г3">Лист2!$W$44</definedName>
    <definedName name="О" localSheetId="3">'Лист2 (3)'!$K$44</definedName>
    <definedName name="О">'Лист2 (2)'!$K$44</definedName>
  </definedNames>
  <calcPr calcId="114210"/>
</workbook>
</file>

<file path=xl/calcChain.xml><?xml version="1.0" encoding="utf-8"?>
<calcChain xmlns="http://schemas.openxmlformats.org/spreadsheetml/2006/main">
  <c r="E32" i="4"/>
  <c r="E31"/>
  <c r="G49"/>
  <c r="E30"/>
  <c r="E27"/>
  <c r="E16"/>
  <c r="E18"/>
  <c r="E24"/>
  <c r="E23"/>
  <c r="E22"/>
  <c r="E15"/>
  <c r="E29"/>
  <c r="E44"/>
  <c r="E45"/>
  <c r="K45"/>
  <c r="F42"/>
  <c r="K31"/>
  <c r="W34"/>
  <c r="W30"/>
  <c r="Q32"/>
  <c r="Q28"/>
  <c r="Q24"/>
  <c r="Q20"/>
  <c r="Q16"/>
  <c r="Q12"/>
  <c r="Q45"/>
  <c r="K28"/>
  <c r="K29"/>
  <c r="W32"/>
  <c r="Q34"/>
  <c r="Q30"/>
  <c r="Q26"/>
  <c r="Q22"/>
  <c r="Q18"/>
  <c r="Q14"/>
  <c r="K11"/>
  <c r="K30"/>
  <c r="K32"/>
  <c r="W33"/>
  <c r="X33"/>
  <c r="W31"/>
  <c r="W29"/>
  <c r="X29"/>
  <c r="Q33"/>
  <c r="R33"/>
  <c r="Q31"/>
  <c r="Q29"/>
  <c r="Q27"/>
  <c r="Q19"/>
  <c r="Q15"/>
  <c r="Q13"/>
  <c r="W45"/>
  <c r="R42"/>
  <c r="C28"/>
  <c r="C26"/>
  <c r="C24"/>
  <c r="C22"/>
  <c r="C20"/>
  <c r="C19"/>
  <c r="C16"/>
  <c r="C15"/>
  <c r="C12"/>
  <c r="C11"/>
  <c r="K11" i="1"/>
  <c r="F42"/>
  <c r="E32"/>
  <c r="E30"/>
  <c r="E29"/>
  <c r="E28"/>
  <c r="E24"/>
  <c r="E20"/>
  <c r="E19"/>
  <c r="E16"/>
  <c r="E33"/>
  <c r="E15"/>
  <c r="E44"/>
  <c r="C28"/>
  <c r="C26"/>
  <c r="C24"/>
  <c r="C22"/>
  <c r="C20"/>
  <c r="C19"/>
  <c r="C16"/>
  <c r="C15"/>
  <c r="C12"/>
  <c r="C11"/>
  <c r="D42"/>
  <c r="I12"/>
  <c r="M12"/>
  <c r="N12"/>
  <c r="M44" i="6"/>
  <c r="K10"/>
  <c r="N10"/>
  <c r="S10"/>
  <c r="T10"/>
  <c r="V10"/>
  <c r="AB10"/>
  <c r="AE10"/>
  <c r="AF10"/>
  <c r="C11"/>
  <c r="D11"/>
  <c r="E11"/>
  <c r="F11"/>
  <c r="G11"/>
  <c r="H11"/>
  <c r="I11"/>
  <c r="J11"/>
  <c r="K11"/>
  <c r="M11"/>
  <c r="P11"/>
  <c r="Y11"/>
  <c r="Z11"/>
  <c r="C12"/>
  <c r="D12"/>
  <c r="E12"/>
  <c r="F12"/>
  <c r="G12"/>
  <c r="H12"/>
  <c r="I12"/>
  <c r="J12"/>
  <c r="K12"/>
  <c r="M12"/>
  <c r="P12"/>
  <c r="K13"/>
  <c r="N13"/>
  <c r="S13"/>
  <c r="T13"/>
  <c r="V13"/>
  <c r="AB13"/>
  <c r="AE13"/>
  <c r="AF13"/>
  <c r="K14"/>
  <c r="N14"/>
  <c r="P14"/>
  <c r="S14"/>
  <c r="T14"/>
  <c r="V14"/>
  <c r="Y14"/>
  <c r="Z14"/>
  <c r="AB14"/>
  <c r="AE14"/>
  <c r="AF14"/>
  <c r="C15"/>
  <c r="D15"/>
  <c r="E15"/>
  <c r="F15"/>
  <c r="G15"/>
  <c r="H15"/>
  <c r="I15"/>
  <c r="J15"/>
  <c r="M15"/>
  <c r="N15"/>
  <c r="P15"/>
  <c r="Q15"/>
  <c r="R15"/>
  <c r="S15"/>
  <c r="T15"/>
  <c r="Y15"/>
  <c r="Z15"/>
  <c r="AE15"/>
  <c r="AF15"/>
  <c r="C16"/>
  <c r="D16"/>
  <c r="E16"/>
  <c r="F16"/>
  <c r="G16"/>
  <c r="H16"/>
  <c r="I16"/>
  <c r="J16"/>
  <c r="M16"/>
  <c r="N16"/>
  <c r="P16"/>
  <c r="Q16"/>
  <c r="R16"/>
  <c r="S16"/>
  <c r="T16"/>
  <c r="Y16"/>
  <c r="Z16"/>
  <c r="AE16"/>
  <c r="AF16"/>
  <c r="O17"/>
  <c r="O9"/>
  <c r="P9"/>
  <c r="P17"/>
  <c r="C18"/>
  <c r="D18"/>
  <c r="E18"/>
  <c r="F18"/>
  <c r="G18"/>
  <c r="H18"/>
  <c r="I18"/>
  <c r="J18"/>
  <c r="M18"/>
  <c r="P18"/>
  <c r="Y18"/>
  <c r="Z18"/>
  <c r="C19"/>
  <c r="D19"/>
  <c r="E19"/>
  <c r="F19"/>
  <c r="G19"/>
  <c r="H19"/>
  <c r="I19"/>
  <c r="J19"/>
  <c r="M19"/>
  <c r="N19"/>
  <c r="P19"/>
  <c r="Y19"/>
  <c r="Z19"/>
  <c r="C20"/>
  <c r="D20"/>
  <c r="E20"/>
  <c r="F20"/>
  <c r="G20"/>
  <c r="H20"/>
  <c r="I20"/>
  <c r="J20"/>
  <c r="M20"/>
  <c r="N20"/>
  <c r="P20"/>
  <c r="Y20"/>
  <c r="Z20"/>
  <c r="C22"/>
  <c r="D22"/>
  <c r="E22"/>
  <c r="F22"/>
  <c r="G22"/>
  <c r="H22"/>
  <c r="I22"/>
  <c r="J22"/>
  <c r="M22"/>
  <c r="N22"/>
  <c r="P22"/>
  <c r="Q22"/>
  <c r="R22"/>
  <c r="S22"/>
  <c r="T22"/>
  <c r="Y22"/>
  <c r="Z22"/>
  <c r="AE22"/>
  <c r="AF22"/>
  <c r="C23"/>
  <c r="D23"/>
  <c r="E23"/>
  <c r="F23"/>
  <c r="G23"/>
  <c r="H23"/>
  <c r="I23"/>
  <c r="J23"/>
  <c r="M23"/>
  <c r="N23"/>
  <c r="P23"/>
  <c r="Q23"/>
  <c r="R23"/>
  <c r="S23"/>
  <c r="T23"/>
  <c r="Y23"/>
  <c r="Z23"/>
  <c r="AE23"/>
  <c r="AF23"/>
  <c r="C24"/>
  <c r="C21"/>
  <c r="D24"/>
  <c r="E24"/>
  <c r="E21"/>
  <c r="F24"/>
  <c r="G24"/>
  <c r="G21"/>
  <c r="H24"/>
  <c r="I24"/>
  <c r="I21"/>
  <c r="J24"/>
  <c r="M24"/>
  <c r="M21"/>
  <c r="N24"/>
  <c r="O24"/>
  <c r="O21"/>
  <c r="P24"/>
  <c r="Q24"/>
  <c r="R24"/>
  <c r="S24"/>
  <c r="T24"/>
  <c r="Y24"/>
  <c r="Z24"/>
  <c r="AE24"/>
  <c r="AF24"/>
  <c r="O25"/>
  <c r="P25"/>
  <c r="AB25"/>
  <c r="C26"/>
  <c r="D26"/>
  <c r="E26"/>
  <c r="F26"/>
  <c r="G26"/>
  <c r="H26"/>
  <c r="I26"/>
  <c r="J26"/>
  <c r="K26"/>
  <c r="M26"/>
  <c r="P26"/>
  <c r="Q26"/>
  <c r="R26"/>
  <c r="S26"/>
  <c r="T26"/>
  <c r="Y26"/>
  <c r="Z26"/>
  <c r="AE26"/>
  <c r="AF26"/>
  <c r="C27"/>
  <c r="D27"/>
  <c r="E27"/>
  <c r="F27"/>
  <c r="G27"/>
  <c r="H27"/>
  <c r="I27"/>
  <c r="J27"/>
  <c r="M27"/>
  <c r="P27"/>
  <c r="S27"/>
  <c r="T27"/>
  <c r="C28"/>
  <c r="D28"/>
  <c r="E28"/>
  <c r="F28"/>
  <c r="G28"/>
  <c r="H28"/>
  <c r="I28"/>
  <c r="J28"/>
  <c r="M28"/>
  <c r="P28"/>
  <c r="Q28"/>
  <c r="R28"/>
  <c r="AE28"/>
  <c r="AF28"/>
  <c r="K29"/>
  <c r="M29"/>
  <c r="O29"/>
  <c r="P29"/>
  <c r="Q29"/>
  <c r="V29"/>
  <c r="AB29"/>
  <c r="AH29"/>
  <c r="K30"/>
  <c r="N30"/>
  <c r="O30"/>
  <c r="P30"/>
  <c r="Q30"/>
  <c r="S30"/>
  <c r="T30"/>
  <c r="V30"/>
  <c r="Y30"/>
  <c r="Z30"/>
  <c r="AB30"/>
  <c r="AE30"/>
  <c r="AF30"/>
  <c r="AH30"/>
  <c r="K31"/>
  <c r="N31"/>
  <c r="O31"/>
  <c r="P31"/>
  <c r="Q31"/>
  <c r="S31"/>
  <c r="T31"/>
  <c r="V31"/>
  <c r="Y31"/>
  <c r="Z31"/>
  <c r="AB31"/>
  <c r="AE31"/>
  <c r="AF31"/>
  <c r="AH31"/>
  <c r="K32"/>
  <c r="N32"/>
  <c r="O32"/>
  <c r="P32"/>
  <c r="Q32"/>
  <c r="S32"/>
  <c r="T32"/>
  <c r="V32"/>
  <c r="Y32"/>
  <c r="Z32"/>
  <c r="AB32"/>
  <c r="AE32"/>
  <c r="AF32"/>
  <c r="AH32"/>
  <c r="K33"/>
  <c r="N33"/>
  <c r="P33"/>
  <c r="Q33"/>
  <c r="R33"/>
  <c r="S33"/>
  <c r="T33"/>
  <c r="Y33"/>
  <c r="Z33"/>
  <c r="AE33"/>
  <c r="AF33"/>
  <c r="K34"/>
  <c r="N34"/>
  <c r="P34"/>
  <c r="S34"/>
  <c r="T34"/>
  <c r="V34"/>
  <c r="Y34"/>
  <c r="Z34"/>
  <c r="AB34"/>
  <c r="AE34"/>
  <c r="AF34"/>
  <c r="K36"/>
  <c r="K37"/>
  <c r="K38"/>
  <c r="K39"/>
  <c r="K40"/>
  <c r="K41"/>
  <c r="M45"/>
  <c r="N42"/>
  <c r="K43"/>
  <c r="C44"/>
  <c r="D44"/>
  <c r="E44"/>
  <c r="F44"/>
  <c r="G44"/>
  <c r="H44"/>
  <c r="I44"/>
  <c r="J44"/>
  <c r="O44"/>
  <c r="O45"/>
  <c r="P42"/>
  <c r="K10" i="5"/>
  <c r="K13"/>
  <c r="K14"/>
  <c r="K29"/>
  <c r="K30"/>
  <c r="K31"/>
  <c r="K32"/>
  <c r="K33"/>
  <c r="K34"/>
  <c r="K36"/>
  <c r="K37"/>
  <c r="K38"/>
  <c r="K39"/>
  <c r="K40"/>
  <c r="K41"/>
  <c r="K43"/>
  <c r="J44"/>
  <c r="J28"/>
  <c r="J27"/>
  <c r="J26"/>
  <c r="J25"/>
  <c r="J24"/>
  <c r="J23"/>
  <c r="J21"/>
  <c r="J22"/>
  <c r="J20"/>
  <c r="J19"/>
  <c r="J18"/>
  <c r="J17"/>
  <c r="J16"/>
  <c r="J15"/>
  <c r="J12"/>
  <c r="J11"/>
  <c r="J9"/>
  <c r="I44"/>
  <c r="I28"/>
  <c r="I27"/>
  <c r="I26"/>
  <c r="I25"/>
  <c r="I24"/>
  <c r="I23"/>
  <c r="I21"/>
  <c r="I22"/>
  <c r="I20"/>
  <c r="I19"/>
  <c r="I18"/>
  <c r="I17"/>
  <c r="I16"/>
  <c r="I15"/>
  <c r="I12"/>
  <c r="I11"/>
  <c r="H44"/>
  <c r="H28"/>
  <c r="H27"/>
  <c r="H25"/>
  <c r="H26"/>
  <c r="H24"/>
  <c r="H23"/>
  <c r="H22"/>
  <c r="H21"/>
  <c r="H20"/>
  <c r="H19"/>
  <c r="H18"/>
  <c r="H16"/>
  <c r="H15"/>
  <c r="H12"/>
  <c r="H11"/>
  <c r="G44"/>
  <c r="G28"/>
  <c r="G27"/>
  <c r="G26"/>
  <c r="G24"/>
  <c r="G23"/>
  <c r="G22"/>
  <c r="G20"/>
  <c r="G19"/>
  <c r="G18"/>
  <c r="H17"/>
  <c r="G16"/>
  <c r="G15"/>
  <c r="G12"/>
  <c r="G11"/>
  <c r="F44"/>
  <c r="F28"/>
  <c r="F27"/>
  <c r="F26"/>
  <c r="F25"/>
  <c r="F24"/>
  <c r="F23"/>
  <c r="F22"/>
  <c r="F20"/>
  <c r="F19"/>
  <c r="F18"/>
  <c r="F17"/>
  <c r="F16"/>
  <c r="F15"/>
  <c r="F12"/>
  <c r="F11"/>
  <c r="F9"/>
  <c r="E44"/>
  <c r="E28"/>
  <c r="E27"/>
  <c r="E26"/>
  <c r="E25"/>
  <c r="E24"/>
  <c r="E23"/>
  <c r="E21"/>
  <c r="E22"/>
  <c r="E20"/>
  <c r="E19"/>
  <c r="E18"/>
  <c r="E17"/>
  <c r="E16"/>
  <c r="E15"/>
  <c r="E12"/>
  <c r="E11"/>
  <c r="F21"/>
  <c r="D44"/>
  <c r="D28"/>
  <c r="D27"/>
  <c r="D26"/>
  <c r="D24"/>
  <c r="D23"/>
  <c r="D22"/>
  <c r="D20"/>
  <c r="D19"/>
  <c r="D18"/>
  <c r="D16"/>
  <c r="D15"/>
  <c r="D12"/>
  <c r="D11"/>
  <c r="C44"/>
  <c r="C28"/>
  <c r="C27"/>
  <c r="C26"/>
  <c r="C25"/>
  <c r="C24"/>
  <c r="C23"/>
  <c r="C22"/>
  <c r="C21"/>
  <c r="C20"/>
  <c r="C19"/>
  <c r="C18"/>
  <c r="C17"/>
  <c r="C16"/>
  <c r="C15"/>
  <c r="C12"/>
  <c r="C11"/>
  <c r="M44"/>
  <c r="N10"/>
  <c r="P10"/>
  <c r="S10"/>
  <c r="T10"/>
  <c r="V10"/>
  <c r="Y10"/>
  <c r="Z10"/>
  <c r="AB10"/>
  <c r="AE10"/>
  <c r="AF10"/>
  <c r="M11"/>
  <c r="P11"/>
  <c r="Y11"/>
  <c r="Z11"/>
  <c r="M12"/>
  <c r="N12"/>
  <c r="P12"/>
  <c r="Y12"/>
  <c r="Z12"/>
  <c r="N13"/>
  <c r="P13"/>
  <c r="S13"/>
  <c r="T13"/>
  <c r="V13"/>
  <c r="Y13"/>
  <c r="Z13"/>
  <c r="AB13"/>
  <c r="AE13"/>
  <c r="AF13"/>
  <c r="N14"/>
  <c r="P14"/>
  <c r="S14"/>
  <c r="T14"/>
  <c r="V14"/>
  <c r="Y14"/>
  <c r="Z14"/>
  <c r="AB14"/>
  <c r="AE14"/>
  <c r="AF14"/>
  <c r="M15"/>
  <c r="N15"/>
  <c r="P15"/>
  <c r="Y15"/>
  <c r="Z15"/>
  <c r="M16"/>
  <c r="N16"/>
  <c r="P16"/>
  <c r="Y16"/>
  <c r="Z16"/>
  <c r="O17"/>
  <c r="O9"/>
  <c r="M18"/>
  <c r="N18"/>
  <c r="P18"/>
  <c r="Q18"/>
  <c r="R18"/>
  <c r="S18"/>
  <c r="T18"/>
  <c r="Y18"/>
  <c r="Z18"/>
  <c r="AE18"/>
  <c r="AF18"/>
  <c r="M19"/>
  <c r="N19"/>
  <c r="P19"/>
  <c r="Q19"/>
  <c r="R19"/>
  <c r="S19"/>
  <c r="T19"/>
  <c r="Y19"/>
  <c r="Z19"/>
  <c r="AE19"/>
  <c r="AF19"/>
  <c r="M20"/>
  <c r="M17"/>
  <c r="N20"/>
  <c r="P20"/>
  <c r="Q20"/>
  <c r="R20"/>
  <c r="S20"/>
  <c r="T20"/>
  <c r="Y20"/>
  <c r="Z20"/>
  <c r="AE20"/>
  <c r="AF20"/>
  <c r="M22"/>
  <c r="P22"/>
  <c r="Y22"/>
  <c r="Z22"/>
  <c r="M23"/>
  <c r="N23"/>
  <c r="P23"/>
  <c r="Y23"/>
  <c r="Z23"/>
  <c r="M24"/>
  <c r="O24"/>
  <c r="Q24"/>
  <c r="R24"/>
  <c r="AE24"/>
  <c r="AF24"/>
  <c r="O25"/>
  <c r="P25"/>
  <c r="AB25"/>
  <c r="M26"/>
  <c r="P26"/>
  <c r="AE26"/>
  <c r="AF26"/>
  <c r="M27"/>
  <c r="N27"/>
  <c r="P27"/>
  <c r="Q27"/>
  <c r="R27"/>
  <c r="S27"/>
  <c r="T27"/>
  <c r="Y27"/>
  <c r="Z27"/>
  <c r="AE27"/>
  <c r="AF27"/>
  <c r="M28"/>
  <c r="N28"/>
  <c r="P28"/>
  <c r="Q28"/>
  <c r="R28"/>
  <c r="S28"/>
  <c r="T28"/>
  <c r="Y28"/>
  <c r="Z28"/>
  <c r="AE28"/>
  <c r="AF28"/>
  <c r="M29"/>
  <c r="N29"/>
  <c r="O29"/>
  <c r="P29"/>
  <c r="Q29"/>
  <c r="V29"/>
  <c r="AB29"/>
  <c r="AH29"/>
  <c r="N30"/>
  <c r="O30"/>
  <c r="P30"/>
  <c r="Q30"/>
  <c r="S30"/>
  <c r="T30"/>
  <c r="V30"/>
  <c r="W30"/>
  <c r="Y30"/>
  <c r="Z30"/>
  <c r="AB30"/>
  <c r="AC30"/>
  <c r="AE30"/>
  <c r="AF30"/>
  <c r="AH30"/>
  <c r="AI30"/>
  <c r="N31"/>
  <c r="O31"/>
  <c r="S31"/>
  <c r="V31"/>
  <c r="Y31"/>
  <c r="AB31"/>
  <c r="AE31"/>
  <c r="AH31"/>
  <c r="N32"/>
  <c r="O32"/>
  <c r="P32"/>
  <c r="Q32"/>
  <c r="S32"/>
  <c r="T32"/>
  <c r="V32"/>
  <c r="W32"/>
  <c r="Y32"/>
  <c r="Z32"/>
  <c r="AB32"/>
  <c r="AC32"/>
  <c r="AE32"/>
  <c r="AF32"/>
  <c r="AH32"/>
  <c r="AI32"/>
  <c r="N33"/>
  <c r="P33"/>
  <c r="Q33"/>
  <c r="R33"/>
  <c r="S33"/>
  <c r="T33"/>
  <c r="Y33"/>
  <c r="Z33"/>
  <c r="AE33"/>
  <c r="AF33"/>
  <c r="N34"/>
  <c r="P34"/>
  <c r="S34"/>
  <c r="T34"/>
  <c r="V34"/>
  <c r="Y34"/>
  <c r="Z34"/>
  <c r="AB34"/>
  <c r="AE34"/>
  <c r="AF34"/>
  <c r="N42"/>
  <c r="Z42"/>
  <c r="O44"/>
  <c r="O45"/>
  <c r="P42"/>
  <c r="C44" i="4"/>
  <c r="W15"/>
  <c r="I11"/>
  <c r="G33"/>
  <c r="U24"/>
  <c r="V24"/>
  <c r="C21"/>
  <c r="C17"/>
  <c r="D42"/>
  <c r="W24"/>
  <c r="X24"/>
  <c r="E17"/>
  <c r="F17"/>
  <c r="C29"/>
  <c r="O32"/>
  <c r="P32"/>
  <c r="C25"/>
  <c r="U10"/>
  <c r="V10"/>
  <c r="U15"/>
  <c r="V15"/>
  <c r="U22"/>
  <c r="V22"/>
  <c r="R10"/>
  <c r="R13"/>
  <c r="R14"/>
  <c r="O20"/>
  <c r="R29"/>
  <c r="R30"/>
  <c r="R31"/>
  <c r="R32"/>
  <c r="R34"/>
  <c r="O16"/>
  <c r="P16"/>
  <c r="O34"/>
  <c r="P34"/>
  <c r="L10"/>
  <c r="L13"/>
  <c r="L14"/>
  <c r="L29"/>
  <c r="L30"/>
  <c r="L31"/>
  <c r="L32"/>
  <c r="L34"/>
  <c r="I13"/>
  <c r="J13"/>
  <c r="I15"/>
  <c r="J15"/>
  <c r="I19"/>
  <c r="J19"/>
  <c r="I20"/>
  <c r="J20"/>
  <c r="I22"/>
  <c r="J22"/>
  <c r="I24"/>
  <c r="J24"/>
  <c r="I26"/>
  <c r="J26"/>
  <c r="I29"/>
  <c r="J29"/>
  <c r="I31"/>
  <c r="J31"/>
  <c r="I32"/>
  <c r="M32"/>
  <c r="D14"/>
  <c r="D18"/>
  <c r="D22"/>
  <c r="D26"/>
  <c r="D30"/>
  <c r="D34"/>
  <c r="F15"/>
  <c r="G26"/>
  <c r="H26"/>
  <c r="F29"/>
  <c r="F30"/>
  <c r="F31"/>
  <c r="F32"/>
  <c r="F34"/>
  <c r="H33"/>
  <c r="X32"/>
  <c r="G32"/>
  <c r="X31"/>
  <c r="G31"/>
  <c r="X30"/>
  <c r="G30"/>
  <c r="G29"/>
  <c r="G24"/>
  <c r="H24"/>
  <c r="G22"/>
  <c r="H22"/>
  <c r="G19"/>
  <c r="H19"/>
  <c r="G18"/>
  <c r="H18"/>
  <c r="G16"/>
  <c r="H16"/>
  <c r="G15"/>
  <c r="H15"/>
  <c r="X43" i="1"/>
  <c r="R43"/>
  <c r="G15"/>
  <c r="H15"/>
  <c r="C17"/>
  <c r="L29"/>
  <c r="R29"/>
  <c r="X29"/>
  <c r="L30"/>
  <c r="R30"/>
  <c r="X30"/>
  <c r="L31"/>
  <c r="R31"/>
  <c r="X31"/>
  <c r="L32"/>
  <c r="R32"/>
  <c r="X32"/>
  <c r="X42"/>
  <c r="X35"/>
  <c r="X33"/>
  <c r="X28"/>
  <c r="X26"/>
  <c r="X25"/>
  <c r="X24"/>
  <c r="X22"/>
  <c r="X21"/>
  <c r="X19"/>
  <c r="X16"/>
  <c r="X12"/>
  <c r="R35"/>
  <c r="R33"/>
  <c r="R28"/>
  <c r="R26"/>
  <c r="R25"/>
  <c r="R24"/>
  <c r="R22"/>
  <c r="R21"/>
  <c r="R19"/>
  <c r="R16"/>
  <c r="R12"/>
  <c r="L33"/>
  <c r="L28"/>
  <c r="L26"/>
  <c r="L25"/>
  <c r="L24"/>
  <c r="L22"/>
  <c r="L21"/>
  <c r="L16"/>
  <c r="L12"/>
  <c r="C44"/>
  <c r="C25"/>
  <c r="O25"/>
  <c r="C21"/>
  <c r="U28"/>
  <c r="Y28"/>
  <c r="Z28"/>
  <c r="D15"/>
  <c r="F30"/>
  <c r="D11"/>
  <c r="D22"/>
  <c r="O22"/>
  <c r="P22"/>
  <c r="U12"/>
  <c r="V12"/>
  <c r="I16"/>
  <c r="M16"/>
  <c r="N16"/>
  <c r="I22"/>
  <c r="J22"/>
  <c r="O12"/>
  <c r="S12"/>
  <c r="T12"/>
  <c r="U20"/>
  <c r="U26"/>
  <c r="V26"/>
  <c r="E25"/>
  <c r="F25"/>
  <c r="G12"/>
  <c r="H12"/>
  <c r="G22"/>
  <c r="H22"/>
  <c r="G26"/>
  <c r="H26"/>
  <c r="G16"/>
  <c r="H16"/>
  <c r="L17"/>
  <c r="J32" i="4"/>
  <c r="M29"/>
  <c r="O29"/>
  <c r="S29"/>
  <c r="O31"/>
  <c r="P31"/>
  <c r="U12"/>
  <c r="U14"/>
  <c r="V14"/>
  <c r="U16"/>
  <c r="V16"/>
  <c r="U18"/>
  <c r="V18"/>
  <c r="U20"/>
  <c r="V20"/>
  <c r="U23"/>
  <c r="U26"/>
  <c r="U28"/>
  <c r="V28"/>
  <c r="O15"/>
  <c r="P15"/>
  <c r="O14"/>
  <c r="P14"/>
  <c r="O18"/>
  <c r="P18"/>
  <c r="O21"/>
  <c r="P21"/>
  <c r="O23"/>
  <c r="P23"/>
  <c r="O25"/>
  <c r="O27"/>
  <c r="P27"/>
  <c r="O33"/>
  <c r="I12"/>
  <c r="I16"/>
  <c r="J16"/>
  <c r="I18"/>
  <c r="J18"/>
  <c r="I23"/>
  <c r="J23"/>
  <c r="I34"/>
  <c r="J34"/>
  <c r="D10"/>
  <c r="D13"/>
  <c r="D15"/>
  <c r="D17"/>
  <c r="D19"/>
  <c r="D21"/>
  <c r="D23"/>
  <c r="D25"/>
  <c r="D27"/>
  <c r="D29"/>
  <c r="D31"/>
  <c r="D33"/>
  <c r="F10"/>
  <c r="F14"/>
  <c r="F16"/>
  <c r="F24"/>
  <c r="F27"/>
  <c r="F33"/>
  <c r="U21"/>
  <c r="V21"/>
  <c r="I21"/>
  <c r="J21"/>
  <c r="F28" i="1"/>
  <c r="G28"/>
  <c r="H28"/>
  <c r="G28" i="4"/>
  <c r="H28"/>
  <c r="F22"/>
  <c r="F12"/>
  <c r="S32"/>
  <c r="E25"/>
  <c r="G25"/>
  <c r="H25"/>
  <c r="F26"/>
  <c r="F18"/>
  <c r="P20"/>
  <c r="V26"/>
  <c r="P33"/>
  <c r="P25"/>
  <c r="V23"/>
  <c r="S31"/>
  <c r="F20"/>
  <c r="G20"/>
  <c r="H20"/>
  <c r="D11"/>
  <c r="C9"/>
  <c r="D9"/>
  <c r="U11"/>
  <c r="V11"/>
  <c r="J11"/>
  <c r="U9"/>
  <c r="V9"/>
  <c r="I9"/>
  <c r="J9"/>
  <c r="F11"/>
  <c r="G11"/>
  <c r="H11"/>
  <c r="AF31" i="5"/>
  <c r="AI31"/>
  <c r="Z31"/>
  <c r="AC31"/>
  <c r="T31"/>
  <c r="W31"/>
  <c r="M9"/>
  <c r="I9"/>
  <c r="I8"/>
  <c r="I35"/>
  <c r="I42"/>
  <c r="J8"/>
  <c r="J35"/>
  <c r="J42"/>
  <c r="L40"/>
  <c r="L36"/>
  <c r="N29" i="6"/>
  <c r="S29"/>
  <c r="T29"/>
  <c r="Y29"/>
  <c r="Z29"/>
  <c r="AE29"/>
  <c r="AF29"/>
  <c r="N28"/>
  <c r="Y28"/>
  <c r="Z28"/>
  <c r="N27"/>
  <c r="Q27"/>
  <c r="R27"/>
  <c r="Y27"/>
  <c r="Z27"/>
  <c r="AE27"/>
  <c r="AF27"/>
  <c r="I25"/>
  <c r="G25"/>
  <c r="E25"/>
  <c r="C25"/>
  <c r="K25"/>
  <c r="K20"/>
  <c r="K18"/>
  <c r="L18"/>
  <c r="K15"/>
  <c r="P29" i="4"/>
  <c r="I45" i="1"/>
  <c r="D43"/>
  <c r="F11"/>
  <c r="I28"/>
  <c r="D16" i="4"/>
  <c r="I45"/>
  <c r="O11"/>
  <c r="P11"/>
  <c r="U13"/>
  <c r="V13"/>
  <c r="U19"/>
  <c r="V19"/>
  <c r="O26"/>
  <c r="P26"/>
  <c r="I10"/>
  <c r="J10"/>
  <c r="I14"/>
  <c r="J14"/>
  <c r="P31" i="5"/>
  <c r="Q31"/>
  <c r="K11"/>
  <c r="K15"/>
  <c r="L15"/>
  <c r="K19"/>
  <c r="L19"/>
  <c r="K23"/>
  <c r="L23"/>
  <c r="K27"/>
  <c r="L27"/>
  <c r="K44"/>
  <c r="L38"/>
  <c r="E9"/>
  <c r="E8"/>
  <c r="E35"/>
  <c r="E42"/>
  <c r="F8"/>
  <c r="F35"/>
  <c r="F42"/>
  <c r="G9"/>
  <c r="S28" i="6"/>
  <c r="T28"/>
  <c r="K24"/>
  <c r="J17"/>
  <c r="H17"/>
  <c r="H9"/>
  <c r="F17"/>
  <c r="D17"/>
  <c r="D9"/>
  <c r="D8"/>
  <c r="D35"/>
  <c r="D42"/>
  <c r="K19"/>
  <c r="M17"/>
  <c r="S17"/>
  <c r="T17"/>
  <c r="K16"/>
  <c r="I11" i="1"/>
  <c r="U25" i="4"/>
  <c r="V25"/>
  <c r="K12" i="5"/>
  <c r="L12"/>
  <c r="K16"/>
  <c r="L16"/>
  <c r="K18"/>
  <c r="L18"/>
  <c r="K20"/>
  <c r="L20"/>
  <c r="K22"/>
  <c r="L22"/>
  <c r="K24"/>
  <c r="L24"/>
  <c r="K26"/>
  <c r="L26"/>
  <c r="K28"/>
  <c r="L28"/>
  <c r="D17"/>
  <c r="D9"/>
  <c r="D8"/>
  <c r="D21"/>
  <c r="K21"/>
  <c r="L21"/>
  <c r="D25"/>
  <c r="K25"/>
  <c r="L25"/>
  <c r="G17"/>
  <c r="G21"/>
  <c r="G25"/>
  <c r="H9"/>
  <c r="H8"/>
  <c r="H35"/>
  <c r="H42"/>
  <c r="L34"/>
  <c r="L32"/>
  <c r="L30"/>
  <c r="L14"/>
  <c r="L10"/>
  <c r="K28" i="6"/>
  <c r="K27"/>
  <c r="M25"/>
  <c r="Y25"/>
  <c r="J25"/>
  <c r="H25"/>
  <c r="F25"/>
  <c r="D25"/>
  <c r="I17"/>
  <c r="G17"/>
  <c r="E17"/>
  <c r="C17"/>
  <c r="F25" i="4"/>
  <c r="Q25"/>
  <c r="R25"/>
  <c r="E9"/>
  <c r="G9"/>
  <c r="H9"/>
  <c r="G17"/>
  <c r="H17"/>
  <c r="K17"/>
  <c r="Q17"/>
  <c r="G23"/>
  <c r="H23"/>
  <c r="Q23"/>
  <c r="V12"/>
  <c r="J12"/>
  <c r="U45"/>
  <c r="V42"/>
  <c r="J42"/>
  <c r="U30"/>
  <c r="U32"/>
  <c r="U34"/>
  <c r="V34"/>
  <c r="O45"/>
  <c r="U29"/>
  <c r="U31"/>
  <c r="U33"/>
  <c r="V33"/>
  <c r="O30"/>
  <c r="O12"/>
  <c r="I28"/>
  <c r="J28"/>
  <c r="F23"/>
  <c r="U27"/>
  <c r="V27"/>
  <c r="Y24"/>
  <c r="Z24"/>
  <c r="X15"/>
  <c r="Y15"/>
  <c r="Z15"/>
  <c r="K27"/>
  <c r="L27"/>
  <c r="K23"/>
  <c r="K18"/>
  <c r="M18"/>
  <c r="N18"/>
  <c r="R22"/>
  <c r="W26"/>
  <c r="Y26"/>
  <c r="Z26"/>
  <c r="W20"/>
  <c r="W12"/>
  <c r="X42"/>
  <c r="K33"/>
  <c r="L33"/>
  <c r="Q11"/>
  <c r="K20"/>
  <c r="K15"/>
  <c r="L15"/>
  <c r="R19"/>
  <c r="W28"/>
  <c r="X28"/>
  <c r="W23"/>
  <c r="W18"/>
  <c r="W11"/>
  <c r="Y28"/>
  <c r="Z28"/>
  <c r="I25"/>
  <c r="J25"/>
  <c r="C8"/>
  <c r="U8"/>
  <c r="O9"/>
  <c r="P9"/>
  <c r="S12"/>
  <c r="T12"/>
  <c r="V28" i="1"/>
  <c r="J42"/>
  <c r="F16"/>
  <c r="F26"/>
  <c r="F33"/>
  <c r="F22"/>
  <c r="F12"/>
  <c r="M22"/>
  <c r="N22"/>
  <c r="Y26"/>
  <c r="Z26"/>
  <c r="U22"/>
  <c r="U16"/>
  <c r="I26"/>
  <c r="I20"/>
  <c r="J20"/>
  <c r="U21"/>
  <c r="Y21"/>
  <c r="Z21"/>
  <c r="O26"/>
  <c r="I19"/>
  <c r="J19"/>
  <c r="D26"/>
  <c r="F32"/>
  <c r="O15"/>
  <c r="Q15"/>
  <c r="S15"/>
  <c r="T15"/>
  <c r="O21"/>
  <c r="P21"/>
  <c r="J16"/>
  <c r="S22"/>
  <c r="T22"/>
  <c r="Y12"/>
  <c r="Z12"/>
  <c r="D17"/>
  <c r="I25"/>
  <c r="P25"/>
  <c r="S25"/>
  <c r="T25"/>
  <c r="G25"/>
  <c r="H25"/>
  <c r="D25"/>
  <c r="U25"/>
  <c r="D21"/>
  <c r="I21"/>
  <c r="M21"/>
  <c r="N21"/>
  <c r="O17"/>
  <c r="G24"/>
  <c r="H24"/>
  <c r="F24"/>
  <c r="P12"/>
  <c r="W20"/>
  <c r="V20"/>
  <c r="K20"/>
  <c r="J12"/>
  <c r="I17"/>
  <c r="U17"/>
  <c r="C9"/>
  <c r="O17" i="4"/>
  <c r="P17"/>
  <c r="U17"/>
  <c r="V17"/>
  <c r="X17"/>
  <c r="I17"/>
  <c r="J17"/>
  <c r="U11" i="5"/>
  <c r="U15"/>
  <c r="U18"/>
  <c r="U20"/>
  <c r="U23"/>
  <c r="AA12"/>
  <c r="AA16"/>
  <c r="AA19"/>
  <c r="AA22"/>
  <c r="AG11"/>
  <c r="AG15"/>
  <c r="AG18"/>
  <c r="AG20"/>
  <c r="AG23"/>
  <c r="U12"/>
  <c r="U16"/>
  <c r="U19"/>
  <c r="U22"/>
  <c r="AA11"/>
  <c r="AA15"/>
  <c r="AA18"/>
  <c r="AA20"/>
  <c r="AA23"/>
  <c r="AG12"/>
  <c r="AG16"/>
  <c r="AG19"/>
  <c r="AG22"/>
  <c r="U26"/>
  <c r="U28"/>
  <c r="AG26"/>
  <c r="AG28"/>
  <c r="AA27"/>
  <c r="AA26"/>
  <c r="M25"/>
  <c r="N26"/>
  <c r="Q26"/>
  <c r="R26"/>
  <c r="S26"/>
  <c r="T26"/>
  <c r="U27"/>
  <c r="N24"/>
  <c r="Y24"/>
  <c r="Z24"/>
  <c r="P9"/>
  <c r="Q9"/>
  <c r="R9"/>
  <c r="N9"/>
  <c r="Y9"/>
  <c r="Z9"/>
  <c r="S9"/>
  <c r="T9"/>
  <c r="AE9"/>
  <c r="AF9"/>
  <c r="U24" i="1"/>
  <c r="U11"/>
  <c r="O19"/>
  <c r="I24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D19"/>
  <c r="D12"/>
  <c r="U19"/>
  <c r="O28"/>
  <c r="O24"/>
  <c r="O20"/>
  <c r="O16"/>
  <c r="P16"/>
  <c r="O11"/>
  <c r="D28"/>
  <c r="D24"/>
  <c r="D20"/>
  <c r="D16"/>
  <c r="F29"/>
  <c r="F31"/>
  <c r="Q45"/>
  <c r="R42"/>
  <c r="K45"/>
  <c r="L42"/>
  <c r="F15"/>
  <c r="I15"/>
  <c r="U15"/>
  <c r="G12" i="4"/>
  <c r="H12"/>
  <c r="G27"/>
  <c r="H27"/>
  <c r="M31"/>
  <c r="F28"/>
  <c r="F19"/>
  <c r="F13"/>
  <c r="D32"/>
  <c r="D28"/>
  <c r="D24"/>
  <c r="D20"/>
  <c r="D12"/>
  <c r="I33"/>
  <c r="I30"/>
  <c r="I27"/>
  <c r="O28"/>
  <c r="P28"/>
  <c r="O24"/>
  <c r="P24"/>
  <c r="O22"/>
  <c r="O19"/>
  <c r="O13"/>
  <c r="P13"/>
  <c r="O10"/>
  <c r="P10"/>
  <c r="E21"/>
  <c r="K26"/>
  <c r="K24"/>
  <c r="K22"/>
  <c r="K19"/>
  <c r="K16"/>
  <c r="K12"/>
  <c r="W27"/>
  <c r="W22"/>
  <c r="W19"/>
  <c r="W16"/>
  <c r="AG33" i="5"/>
  <c r="AA33"/>
  <c r="U33"/>
  <c r="AE29"/>
  <c r="Y29"/>
  <c r="S29"/>
  <c r="AA28"/>
  <c r="Y26"/>
  <c r="Z26"/>
  <c r="AG27"/>
  <c r="S24"/>
  <c r="T24"/>
  <c r="AA24"/>
  <c r="U24"/>
  <c r="AG24"/>
  <c r="O21"/>
  <c r="O8"/>
  <c r="P24"/>
  <c r="M21"/>
  <c r="Q17"/>
  <c r="R17"/>
  <c r="S17"/>
  <c r="T17"/>
  <c r="AE17"/>
  <c r="AF17"/>
  <c r="AH17"/>
  <c r="N17"/>
  <c r="Y17"/>
  <c r="Z17"/>
  <c r="L43"/>
  <c r="AE23"/>
  <c r="AF23"/>
  <c r="S23"/>
  <c r="T23"/>
  <c r="Q23"/>
  <c r="R23"/>
  <c r="AE22"/>
  <c r="AF22"/>
  <c r="S22"/>
  <c r="T22"/>
  <c r="Q22"/>
  <c r="R22"/>
  <c r="N22"/>
  <c r="P17"/>
  <c r="AE16"/>
  <c r="AF16"/>
  <c r="S16"/>
  <c r="T16"/>
  <c r="Q16"/>
  <c r="R16"/>
  <c r="AE15"/>
  <c r="AF15"/>
  <c r="S15"/>
  <c r="T15"/>
  <c r="Q15"/>
  <c r="R15"/>
  <c r="AE12"/>
  <c r="S12"/>
  <c r="Q12"/>
  <c r="R12"/>
  <c r="AE11"/>
  <c r="AF11"/>
  <c r="S11"/>
  <c r="T11"/>
  <c r="Q11"/>
  <c r="R11"/>
  <c r="N11"/>
  <c r="C9"/>
  <c r="L41"/>
  <c r="L39"/>
  <c r="L37"/>
  <c r="L33"/>
  <c r="L31"/>
  <c r="L29"/>
  <c r="L13"/>
  <c r="K44" i="6"/>
  <c r="L39"/>
  <c r="L33"/>
  <c r="L26"/>
  <c r="L24"/>
  <c r="U12"/>
  <c r="U16"/>
  <c r="U19"/>
  <c r="U22"/>
  <c r="AA11"/>
  <c r="AA15"/>
  <c r="AA18"/>
  <c r="AA20"/>
  <c r="AA23"/>
  <c r="AG12"/>
  <c r="AG16"/>
  <c r="AG19"/>
  <c r="AG22"/>
  <c r="U15"/>
  <c r="U20"/>
  <c r="U23"/>
  <c r="AA16"/>
  <c r="AG11"/>
  <c r="AG18"/>
  <c r="U11"/>
  <c r="U18"/>
  <c r="AA12"/>
  <c r="AA19"/>
  <c r="AA22"/>
  <c r="AG15"/>
  <c r="AG20"/>
  <c r="AG23"/>
  <c r="U27"/>
  <c r="AG27"/>
  <c r="AA26"/>
  <c r="AA28"/>
  <c r="U33"/>
  <c r="AA33"/>
  <c r="AG33"/>
  <c r="U26"/>
  <c r="U28"/>
  <c r="AG26"/>
  <c r="AG28"/>
  <c r="AA27"/>
  <c r="L40"/>
  <c r="L38"/>
  <c r="L36"/>
  <c r="L34"/>
  <c r="L32"/>
  <c r="L30"/>
  <c r="L28"/>
  <c r="L27"/>
  <c r="N25"/>
  <c r="Q25"/>
  <c r="R25"/>
  <c r="AE25"/>
  <c r="AF25"/>
  <c r="P21"/>
  <c r="Q21"/>
  <c r="R21"/>
  <c r="N21"/>
  <c r="Y21"/>
  <c r="Z21"/>
  <c r="AE21"/>
  <c r="AF21"/>
  <c r="S21"/>
  <c r="T21"/>
  <c r="AI32"/>
  <c r="AC32"/>
  <c r="W32"/>
  <c r="AI31"/>
  <c r="AC31"/>
  <c r="W31"/>
  <c r="AI30"/>
  <c r="AC30"/>
  <c r="W30"/>
  <c r="AI29"/>
  <c r="AC29"/>
  <c r="W29"/>
  <c r="N26"/>
  <c r="Q17"/>
  <c r="R17"/>
  <c r="AE17"/>
  <c r="AF17"/>
  <c r="AH17"/>
  <c r="Y17"/>
  <c r="Z17"/>
  <c r="L16"/>
  <c r="J9"/>
  <c r="F9"/>
  <c r="L15"/>
  <c r="U24"/>
  <c r="AG24"/>
  <c r="AA24"/>
  <c r="K23"/>
  <c r="L23"/>
  <c r="J21"/>
  <c r="H21"/>
  <c r="F21"/>
  <c r="D21"/>
  <c r="K22"/>
  <c r="L22"/>
  <c r="L20"/>
  <c r="L19"/>
  <c r="K17"/>
  <c r="L17"/>
  <c r="L13"/>
  <c r="N12"/>
  <c r="Q12"/>
  <c r="R12"/>
  <c r="S12"/>
  <c r="AE12"/>
  <c r="L11"/>
  <c r="I9"/>
  <c r="I8"/>
  <c r="I35"/>
  <c r="I42"/>
  <c r="G9"/>
  <c r="G8"/>
  <c r="G35"/>
  <c r="G42"/>
  <c r="E9"/>
  <c r="E8"/>
  <c r="E35"/>
  <c r="E42"/>
  <c r="C9"/>
  <c r="P10"/>
  <c r="Y10"/>
  <c r="Z10"/>
  <c r="P13"/>
  <c r="Y13"/>
  <c r="Z13"/>
  <c r="AE20"/>
  <c r="AF20"/>
  <c r="S20"/>
  <c r="T20"/>
  <c r="Q20"/>
  <c r="R20"/>
  <c r="AE19"/>
  <c r="AF19"/>
  <c r="S19"/>
  <c r="T19"/>
  <c r="Q19"/>
  <c r="R19"/>
  <c r="AE18"/>
  <c r="AF18"/>
  <c r="S18"/>
  <c r="T18"/>
  <c r="Q18"/>
  <c r="R18"/>
  <c r="N18"/>
  <c r="Y12"/>
  <c r="L12"/>
  <c r="M9"/>
  <c r="N11"/>
  <c r="Q11"/>
  <c r="R11"/>
  <c r="S11"/>
  <c r="T11"/>
  <c r="AE11"/>
  <c r="AF11"/>
  <c r="L10"/>
  <c r="O8"/>
  <c r="E21" i="1"/>
  <c r="D35" i="5"/>
  <c r="D42"/>
  <c r="G8"/>
  <c r="G35"/>
  <c r="G42"/>
  <c r="K21" i="6"/>
  <c r="L21"/>
  <c r="N17"/>
  <c r="S25"/>
  <c r="T25"/>
  <c r="K17" i="5"/>
  <c r="L17"/>
  <c r="L11"/>
  <c r="S25" i="4"/>
  <c r="T25"/>
  <c r="F9"/>
  <c r="V31"/>
  <c r="Y31"/>
  <c r="V32"/>
  <c r="Y32"/>
  <c r="K21"/>
  <c r="Q21"/>
  <c r="P42"/>
  <c r="P12"/>
  <c r="V29"/>
  <c r="Y29"/>
  <c r="V30"/>
  <c r="Y30"/>
  <c r="L18"/>
  <c r="K9"/>
  <c r="Y12"/>
  <c r="Z12"/>
  <c r="X26"/>
  <c r="X12"/>
  <c r="Y18"/>
  <c r="Z18"/>
  <c r="X18"/>
  <c r="L11"/>
  <c r="M11"/>
  <c r="N11"/>
  <c r="X20"/>
  <c r="Y20"/>
  <c r="Z20"/>
  <c r="Y33"/>
  <c r="Z33"/>
  <c r="S33"/>
  <c r="T33"/>
  <c r="M15"/>
  <c r="N15"/>
  <c r="Y11"/>
  <c r="Z11"/>
  <c r="X11"/>
  <c r="X23"/>
  <c r="Y23"/>
  <c r="Z23"/>
  <c r="R12"/>
  <c r="S27"/>
  <c r="T27"/>
  <c r="R27"/>
  <c r="M20"/>
  <c r="N20"/>
  <c r="L20"/>
  <c r="S16"/>
  <c r="T16"/>
  <c r="R16"/>
  <c r="L23"/>
  <c r="M23"/>
  <c r="N23"/>
  <c r="I8"/>
  <c r="J8"/>
  <c r="D8"/>
  <c r="O8"/>
  <c r="P8"/>
  <c r="C35"/>
  <c r="D43"/>
  <c r="R15" i="1"/>
  <c r="K19"/>
  <c r="M19"/>
  <c r="N19"/>
  <c r="S21"/>
  <c r="T21"/>
  <c r="V21"/>
  <c r="P26"/>
  <c r="S26"/>
  <c r="T26"/>
  <c r="J26"/>
  <c r="M26"/>
  <c r="N26"/>
  <c r="Y16"/>
  <c r="Z16"/>
  <c r="V16"/>
  <c r="P15"/>
  <c r="V22"/>
  <c r="Y22"/>
  <c r="Z22"/>
  <c r="M25"/>
  <c r="N25"/>
  <c r="J25"/>
  <c r="Y25"/>
  <c r="Z25"/>
  <c r="V25"/>
  <c r="J21"/>
  <c r="Q17"/>
  <c r="P17"/>
  <c r="P8" i="5"/>
  <c r="P8" i="6"/>
  <c r="Z12"/>
  <c r="Z42"/>
  <c r="AF12"/>
  <c r="AF42"/>
  <c r="AH24"/>
  <c r="AI24"/>
  <c r="AJ24"/>
  <c r="H8"/>
  <c r="H35"/>
  <c r="H42"/>
  <c r="AH28"/>
  <c r="AI28"/>
  <c r="AJ28"/>
  <c r="W28"/>
  <c r="X28"/>
  <c r="V28"/>
  <c r="AI33"/>
  <c r="AJ33"/>
  <c r="AH33"/>
  <c r="W33"/>
  <c r="X33"/>
  <c r="V33"/>
  <c r="AC26"/>
  <c r="AD26"/>
  <c r="AB26"/>
  <c r="V27"/>
  <c r="W27"/>
  <c r="X27"/>
  <c r="AH20"/>
  <c r="AI20"/>
  <c r="AJ20"/>
  <c r="AA21"/>
  <c r="AB22"/>
  <c r="AC22"/>
  <c r="AD22"/>
  <c r="AC12"/>
  <c r="AD12"/>
  <c r="AB12"/>
  <c r="AB42"/>
  <c r="V11"/>
  <c r="W11"/>
  <c r="X11"/>
  <c r="AH11"/>
  <c r="AI11"/>
  <c r="AJ11"/>
  <c r="W23"/>
  <c r="X23"/>
  <c r="V23"/>
  <c r="W15"/>
  <c r="X15"/>
  <c r="V15"/>
  <c r="AH19"/>
  <c r="AI19"/>
  <c r="AJ19"/>
  <c r="AH12"/>
  <c r="AI12"/>
  <c r="AJ12"/>
  <c r="AH42"/>
  <c r="AC20"/>
  <c r="AD20"/>
  <c r="AB20"/>
  <c r="AB15"/>
  <c r="AC15"/>
  <c r="AD15"/>
  <c r="W22"/>
  <c r="X22"/>
  <c r="U21"/>
  <c r="V22"/>
  <c r="W16"/>
  <c r="X16"/>
  <c r="V16"/>
  <c r="L14"/>
  <c r="L29"/>
  <c r="L43"/>
  <c r="C8" i="5"/>
  <c r="K9"/>
  <c r="L9"/>
  <c r="T12"/>
  <c r="T42"/>
  <c r="AI24"/>
  <c r="AJ24"/>
  <c r="AH24"/>
  <c r="AB24"/>
  <c r="AC24"/>
  <c r="AD24"/>
  <c r="AI27"/>
  <c r="AJ27"/>
  <c r="AH27"/>
  <c r="AC28"/>
  <c r="AD28"/>
  <c r="AB28"/>
  <c r="Z29"/>
  <c r="AC29"/>
  <c r="W33"/>
  <c r="X33"/>
  <c r="V33"/>
  <c r="AI33"/>
  <c r="AJ33"/>
  <c r="AH33"/>
  <c r="X19" i="4"/>
  <c r="Y19"/>
  <c r="Z19"/>
  <c r="X27"/>
  <c r="Y27"/>
  <c r="Z27"/>
  <c r="R15"/>
  <c r="S15"/>
  <c r="T15"/>
  <c r="S20"/>
  <c r="T20"/>
  <c r="R20"/>
  <c r="R26"/>
  <c r="S26"/>
  <c r="T26"/>
  <c r="L12"/>
  <c r="M12"/>
  <c r="N12"/>
  <c r="L42"/>
  <c r="L19"/>
  <c r="M19"/>
  <c r="N19"/>
  <c r="L24"/>
  <c r="M24"/>
  <c r="N24"/>
  <c r="K25"/>
  <c r="L26"/>
  <c r="M26"/>
  <c r="N26"/>
  <c r="P30"/>
  <c r="S30"/>
  <c r="P22"/>
  <c r="S22"/>
  <c r="T22"/>
  <c r="M27"/>
  <c r="N27"/>
  <c r="J27"/>
  <c r="J33"/>
  <c r="M33"/>
  <c r="N33"/>
  <c r="W15" i="1"/>
  <c r="V15"/>
  <c r="P11"/>
  <c r="Q11"/>
  <c r="Q20"/>
  <c r="P20"/>
  <c r="S28"/>
  <c r="T28"/>
  <c r="P28"/>
  <c r="J11"/>
  <c r="M24"/>
  <c r="N24"/>
  <c r="J24"/>
  <c r="P19"/>
  <c r="S19"/>
  <c r="T19"/>
  <c r="W11"/>
  <c r="V11"/>
  <c r="Y24"/>
  <c r="Z24"/>
  <c r="V24"/>
  <c r="AB26" i="5"/>
  <c r="AC26"/>
  <c r="AD26"/>
  <c r="AH28"/>
  <c r="AI28"/>
  <c r="AJ28"/>
  <c r="W28"/>
  <c r="X28"/>
  <c r="V28"/>
  <c r="AG21"/>
  <c r="AI22"/>
  <c r="AJ22"/>
  <c r="AH22"/>
  <c r="AI16"/>
  <c r="AJ16"/>
  <c r="AH16"/>
  <c r="AC23"/>
  <c r="AD23"/>
  <c r="AB23"/>
  <c r="AA17"/>
  <c r="AC18"/>
  <c r="AD18"/>
  <c r="AB18"/>
  <c r="AB11"/>
  <c r="AA9"/>
  <c r="AC11"/>
  <c r="AD11"/>
  <c r="V19"/>
  <c r="W19"/>
  <c r="X19"/>
  <c r="W12"/>
  <c r="X12"/>
  <c r="V12"/>
  <c r="V42"/>
  <c r="AH20"/>
  <c r="AI20"/>
  <c r="AJ20"/>
  <c r="AI15"/>
  <c r="AJ15"/>
  <c r="AH15"/>
  <c r="AB22"/>
  <c r="AA21"/>
  <c r="AC22"/>
  <c r="AD22"/>
  <c r="AB16"/>
  <c r="AC16"/>
  <c r="AD16"/>
  <c r="V23"/>
  <c r="W23"/>
  <c r="X23"/>
  <c r="V18"/>
  <c r="U17"/>
  <c r="W18"/>
  <c r="X18"/>
  <c r="U9"/>
  <c r="W11"/>
  <c r="X11"/>
  <c r="V11"/>
  <c r="W17" i="4"/>
  <c r="Y17"/>
  <c r="Z17"/>
  <c r="V17" i="1"/>
  <c r="X17"/>
  <c r="W17"/>
  <c r="Y17"/>
  <c r="Z17"/>
  <c r="L20"/>
  <c r="M20"/>
  <c r="N20"/>
  <c r="X20"/>
  <c r="Y20"/>
  <c r="Z20"/>
  <c r="L19"/>
  <c r="G21"/>
  <c r="H21"/>
  <c r="F21"/>
  <c r="D35" i="4"/>
  <c r="O35"/>
  <c r="P35"/>
  <c r="M8" i="6"/>
  <c r="S9"/>
  <c r="T9"/>
  <c r="AE9"/>
  <c r="AF9"/>
  <c r="N9"/>
  <c r="Y9"/>
  <c r="Z9"/>
  <c r="Q9"/>
  <c r="R9"/>
  <c r="C8"/>
  <c r="K9"/>
  <c r="L9"/>
  <c r="T12"/>
  <c r="T42"/>
  <c r="AC24"/>
  <c r="AD24"/>
  <c r="AB24"/>
  <c r="V24"/>
  <c r="W24"/>
  <c r="X24"/>
  <c r="F8"/>
  <c r="F35"/>
  <c r="F42"/>
  <c r="J8"/>
  <c r="J35"/>
  <c r="J42"/>
  <c r="Z25"/>
  <c r="AC25"/>
  <c r="AD25"/>
  <c r="AB27"/>
  <c r="AC27"/>
  <c r="AD27"/>
  <c r="AG25"/>
  <c r="AH26"/>
  <c r="AI26"/>
  <c r="AJ26"/>
  <c r="U25"/>
  <c r="W26"/>
  <c r="X26"/>
  <c r="V26"/>
  <c r="AC33"/>
  <c r="AD33"/>
  <c r="AB33"/>
  <c r="AC28"/>
  <c r="AD28"/>
  <c r="AB28"/>
  <c r="AI27"/>
  <c r="AJ27"/>
  <c r="AH27"/>
  <c r="AI23"/>
  <c r="AJ23"/>
  <c r="AH23"/>
  <c r="AI15"/>
  <c r="AJ15"/>
  <c r="AH15"/>
  <c r="AC19"/>
  <c r="AD19"/>
  <c r="AB19"/>
  <c r="U17"/>
  <c r="V18"/>
  <c r="W18"/>
  <c r="X18"/>
  <c r="AG17"/>
  <c r="AI17"/>
  <c r="AJ17"/>
  <c r="AH18"/>
  <c r="AI18"/>
  <c r="AJ18"/>
  <c r="AB16"/>
  <c r="AC16"/>
  <c r="AD16"/>
  <c r="V20"/>
  <c r="W20"/>
  <c r="X20"/>
  <c r="AG21"/>
  <c r="AI22"/>
  <c r="AJ22"/>
  <c r="AH22"/>
  <c r="AI16"/>
  <c r="AJ16"/>
  <c r="AH16"/>
  <c r="AB23"/>
  <c r="AC23"/>
  <c r="AD23"/>
  <c r="AA17"/>
  <c r="AC18"/>
  <c r="AD18"/>
  <c r="AB18"/>
  <c r="AA9"/>
  <c r="AC11"/>
  <c r="AD11"/>
  <c r="AB11"/>
  <c r="V19"/>
  <c r="W19"/>
  <c r="X19"/>
  <c r="V12"/>
  <c r="W12"/>
  <c r="X12"/>
  <c r="V42"/>
  <c r="L25"/>
  <c r="L31"/>
  <c r="L37"/>
  <c r="L41"/>
  <c r="AF12" i="5"/>
  <c r="AF42"/>
  <c r="N21"/>
  <c r="Y21"/>
  <c r="Z21"/>
  <c r="S21"/>
  <c r="T21"/>
  <c r="AE21"/>
  <c r="AF21"/>
  <c r="P21"/>
  <c r="Q21"/>
  <c r="R21"/>
  <c r="W24"/>
  <c r="X24"/>
  <c r="V24"/>
  <c r="T29"/>
  <c r="W29"/>
  <c r="AF29"/>
  <c r="AI29"/>
  <c r="AC33"/>
  <c r="AD33"/>
  <c r="AB33"/>
  <c r="X16" i="4"/>
  <c r="Y16"/>
  <c r="Z16"/>
  <c r="X22"/>
  <c r="W21"/>
  <c r="Y22"/>
  <c r="Z22"/>
  <c r="R11"/>
  <c r="S11"/>
  <c r="T11"/>
  <c r="R18"/>
  <c r="S18"/>
  <c r="T18"/>
  <c r="R28"/>
  <c r="S28"/>
  <c r="T28"/>
  <c r="R23"/>
  <c r="S23"/>
  <c r="T23"/>
  <c r="L16"/>
  <c r="M16"/>
  <c r="N16"/>
  <c r="L22"/>
  <c r="M22"/>
  <c r="N22"/>
  <c r="L28"/>
  <c r="M28"/>
  <c r="N28"/>
  <c r="F21"/>
  <c r="G21"/>
  <c r="H21"/>
  <c r="E8"/>
  <c r="E35"/>
  <c r="P19"/>
  <c r="S19"/>
  <c r="T19"/>
  <c r="M30"/>
  <c r="J30"/>
  <c r="K15" i="1"/>
  <c r="J15"/>
  <c r="S16"/>
  <c r="T16"/>
  <c r="S24"/>
  <c r="T24"/>
  <c r="P24"/>
  <c r="Y19"/>
  <c r="Z19"/>
  <c r="V19"/>
  <c r="M28"/>
  <c r="N28"/>
  <c r="J28"/>
  <c r="M8" i="5"/>
  <c r="W27"/>
  <c r="X27"/>
  <c r="V27"/>
  <c r="Q25"/>
  <c r="R25"/>
  <c r="S25"/>
  <c r="T25"/>
  <c r="AE25"/>
  <c r="AF25"/>
  <c r="N25"/>
  <c r="Y25"/>
  <c r="AB27"/>
  <c r="AC27"/>
  <c r="AD27"/>
  <c r="AI26"/>
  <c r="AJ26"/>
  <c r="AH26"/>
  <c r="AG25"/>
  <c r="V26"/>
  <c r="U25"/>
  <c r="W26"/>
  <c r="X26"/>
  <c r="AH19"/>
  <c r="AI19"/>
  <c r="AJ19"/>
  <c r="AI12"/>
  <c r="AJ12"/>
  <c r="AH12"/>
  <c r="AH42"/>
  <c r="AC20"/>
  <c r="AD20"/>
  <c r="AB20"/>
  <c r="AB15"/>
  <c r="AC15"/>
  <c r="AD15"/>
  <c r="U21"/>
  <c r="W22"/>
  <c r="X22"/>
  <c r="V22"/>
  <c r="W16"/>
  <c r="X16"/>
  <c r="V16"/>
  <c r="AH23"/>
  <c r="AI23"/>
  <c r="AJ23"/>
  <c r="AH18"/>
  <c r="AG17"/>
  <c r="AI17"/>
  <c r="AJ17"/>
  <c r="AI18"/>
  <c r="AJ18"/>
  <c r="AG9"/>
  <c r="AI11"/>
  <c r="AJ11"/>
  <c r="AH11"/>
  <c r="AC19"/>
  <c r="AD19"/>
  <c r="AB19"/>
  <c r="AB12"/>
  <c r="AC12"/>
  <c r="AD12"/>
  <c r="AB42"/>
  <c r="V20"/>
  <c r="W20"/>
  <c r="X20"/>
  <c r="W15"/>
  <c r="X15"/>
  <c r="V15"/>
  <c r="R24" i="4"/>
  <c r="S24"/>
  <c r="T24"/>
  <c r="W9"/>
  <c r="C8" i="1"/>
  <c r="U9"/>
  <c r="V9"/>
  <c r="D9"/>
  <c r="I9"/>
  <c r="J9"/>
  <c r="O9"/>
  <c r="P9"/>
  <c r="M17"/>
  <c r="N17"/>
  <c r="J17"/>
  <c r="W25" i="4"/>
  <c r="U35"/>
  <c r="V35"/>
  <c r="V8"/>
  <c r="K8"/>
  <c r="K35"/>
  <c r="Q35"/>
  <c r="R35"/>
  <c r="I35"/>
  <c r="S17" i="1"/>
  <c r="T17"/>
  <c r="R17"/>
  <c r="X25" i="4"/>
  <c r="Y25"/>
  <c r="Z25"/>
  <c r="W8"/>
  <c r="X9"/>
  <c r="Y9"/>
  <c r="Z9"/>
  <c r="V25" i="5"/>
  <c r="W25"/>
  <c r="X25"/>
  <c r="AH25"/>
  <c r="AI25"/>
  <c r="AJ25"/>
  <c r="S8"/>
  <c r="T8"/>
  <c r="AE8"/>
  <c r="N8"/>
  <c r="Y8"/>
  <c r="Z8"/>
  <c r="M35"/>
  <c r="M15" i="1"/>
  <c r="N15"/>
  <c r="L15"/>
  <c r="S21" i="4"/>
  <c r="T21"/>
  <c r="R21"/>
  <c r="S17"/>
  <c r="T17"/>
  <c r="R17"/>
  <c r="AC9" i="6"/>
  <c r="AD9"/>
  <c r="AB9"/>
  <c r="AA8"/>
  <c r="AI21"/>
  <c r="AJ21"/>
  <c r="AH21"/>
  <c r="V17"/>
  <c r="W17"/>
  <c r="X17"/>
  <c r="AI25"/>
  <c r="AJ25"/>
  <c r="AH25"/>
  <c r="K8"/>
  <c r="L8"/>
  <c r="C35"/>
  <c r="N8"/>
  <c r="Y8"/>
  <c r="Z8"/>
  <c r="S8"/>
  <c r="T8"/>
  <c r="AE8"/>
  <c r="M35"/>
  <c r="G20" i="1"/>
  <c r="H20"/>
  <c r="F20"/>
  <c r="W9" i="5"/>
  <c r="X9"/>
  <c r="U8"/>
  <c r="V9"/>
  <c r="V17"/>
  <c r="W17"/>
  <c r="X17"/>
  <c r="AI21"/>
  <c r="AJ21"/>
  <c r="AH21"/>
  <c r="X11" i="1"/>
  <c r="Y11"/>
  <c r="Z11"/>
  <c r="W9"/>
  <c r="R20"/>
  <c r="S20"/>
  <c r="T20"/>
  <c r="X15"/>
  <c r="Y15"/>
  <c r="Z15"/>
  <c r="W21" i="6"/>
  <c r="X21"/>
  <c r="V21"/>
  <c r="AG9"/>
  <c r="U9"/>
  <c r="AB21"/>
  <c r="AC21"/>
  <c r="AD21"/>
  <c r="Q8"/>
  <c r="R8"/>
  <c r="V43" i="4"/>
  <c r="O8" i="1"/>
  <c r="P8"/>
  <c r="U8"/>
  <c r="V8"/>
  <c r="D8"/>
  <c r="I8"/>
  <c r="J8"/>
  <c r="L17" i="4"/>
  <c r="M17"/>
  <c r="N17"/>
  <c r="AI9" i="5"/>
  <c r="AJ9"/>
  <c r="AG8"/>
  <c r="AH9"/>
  <c r="W21"/>
  <c r="X21"/>
  <c r="V21"/>
  <c r="Z25"/>
  <c r="AC25"/>
  <c r="AD25"/>
  <c r="F8" i="4"/>
  <c r="G8"/>
  <c r="H8"/>
  <c r="L21"/>
  <c r="M21"/>
  <c r="N21"/>
  <c r="Q9"/>
  <c r="X21"/>
  <c r="Y21"/>
  <c r="Z21"/>
  <c r="AC17" i="6"/>
  <c r="AD17"/>
  <c r="AB17"/>
  <c r="W25"/>
  <c r="X25"/>
  <c r="V25"/>
  <c r="P43" i="4"/>
  <c r="G19" i="1"/>
  <c r="H19"/>
  <c r="F19"/>
  <c r="E17"/>
  <c r="AB21" i="5"/>
  <c r="AC21"/>
  <c r="AD21"/>
  <c r="AA8"/>
  <c r="AB9"/>
  <c r="AC9"/>
  <c r="AD9"/>
  <c r="AC17"/>
  <c r="AD17"/>
  <c r="AB17"/>
  <c r="L11" i="1"/>
  <c r="K9"/>
  <c r="M11"/>
  <c r="N11"/>
  <c r="Q9"/>
  <c r="R11"/>
  <c r="S11"/>
  <c r="T11"/>
  <c r="M25" i="4"/>
  <c r="N25"/>
  <c r="L25"/>
  <c r="K8" i="5"/>
  <c r="L8"/>
  <c r="C35"/>
  <c r="Q8"/>
  <c r="R8"/>
  <c r="J35" i="4"/>
  <c r="J43"/>
  <c r="L35"/>
  <c r="L43"/>
  <c r="K35" i="5"/>
  <c r="L35"/>
  <c r="C42"/>
  <c r="K42"/>
  <c r="L42"/>
  <c r="M9" i="4"/>
  <c r="N9"/>
  <c r="L9"/>
  <c r="G11" i="1"/>
  <c r="H11"/>
  <c r="E9"/>
  <c r="L9"/>
  <c r="K8"/>
  <c r="M9"/>
  <c r="N9"/>
  <c r="AC8" i="5"/>
  <c r="AD8"/>
  <c r="AB8"/>
  <c r="AA35"/>
  <c r="Q8" i="4"/>
  <c r="R9"/>
  <c r="S9"/>
  <c r="T9"/>
  <c r="AH8" i="5"/>
  <c r="AI8"/>
  <c r="AJ8"/>
  <c r="AG35"/>
  <c r="U8" i="6"/>
  <c r="V9"/>
  <c r="W9"/>
  <c r="X9"/>
  <c r="W8" i="1"/>
  <c r="Y9"/>
  <c r="Z9"/>
  <c r="X9"/>
  <c r="V8" i="5"/>
  <c r="W8"/>
  <c r="X8"/>
  <c r="U35"/>
  <c r="N35" i="6"/>
  <c r="S35"/>
  <c r="N43"/>
  <c r="Y35"/>
  <c r="Y35" i="5"/>
  <c r="N35"/>
  <c r="S35"/>
  <c r="N43"/>
  <c r="S9" i="1"/>
  <c r="T9"/>
  <c r="R9"/>
  <c r="Q8"/>
  <c r="G17"/>
  <c r="H17"/>
  <c r="F17"/>
  <c r="AG8" i="6"/>
  <c r="AH9"/>
  <c r="AI9"/>
  <c r="AJ9"/>
  <c r="AF8"/>
  <c r="AE35"/>
  <c r="K35"/>
  <c r="L35"/>
  <c r="C42"/>
  <c r="K42"/>
  <c r="L42"/>
  <c r="AB8"/>
  <c r="AC8"/>
  <c r="AD8"/>
  <c r="AA35"/>
  <c r="AF8" i="5"/>
  <c r="AE35"/>
  <c r="W35" i="4"/>
  <c r="X35"/>
  <c r="X8"/>
  <c r="Y8"/>
  <c r="Z8"/>
  <c r="AC35" i="6"/>
  <c r="AD35"/>
  <c r="AB35"/>
  <c r="AB43"/>
  <c r="R8" i="1"/>
  <c r="S8"/>
  <c r="T8"/>
  <c r="T35" i="5"/>
  <c r="T43"/>
  <c r="Z35"/>
  <c r="Z43"/>
  <c r="Y8" i="1"/>
  <c r="Z8"/>
  <c r="X8"/>
  <c r="AI35" i="5"/>
  <c r="AJ35"/>
  <c r="AH43"/>
  <c r="AH35"/>
  <c r="AB35"/>
  <c r="AB43"/>
  <c r="AC35"/>
  <c r="AD35"/>
  <c r="K35" i="1"/>
  <c r="L35"/>
  <c r="L8"/>
  <c r="M8"/>
  <c r="N8"/>
  <c r="F9"/>
  <c r="G9"/>
  <c r="H9"/>
  <c r="E8"/>
  <c r="AF35" i="5"/>
  <c r="AF43"/>
  <c r="X43" i="4"/>
  <c r="Y35"/>
  <c r="Z35"/>
  <c r="AF43" i="6"/>
  <c r="AF35"/>
  <c r="AI8"/>
  <c r="AJ8"/>
  <c r="AH8"/>
  <c r="AG35"/>
  <c r="Z35"/>
  <c r="Z43"/>
  <c r="T43"/>
  <c r="T35"/>
  <c r="W35" i="5"/>
  <c r="X35"/>
  <c r="V43"/>
  <c r="O35"/>
  <c r="V35"/>
  <c r="W8" i="6"/>
  <c r="X8"/>
  <c r="V8"/>
  <c r="U35"/>
  <c r="R8" i="4"/>
  <c r="S8"/>
  <c r="T8"/>
  <c r="M8"/>
  <c r="N8"/>
  <c r="L8"/>
  <c r="F43"/>
  <c r="M35"/>
  <c r="N35"/>
  <c r="O35" i="6"/>
  <c r="V35"/>
  <c r="W35"/>
  <c r="X35"/>
  <c r="V43"/>
  <c r="P35" i="5"/>
  <c r="P43"/>
  <c r="Q35"/>
  <c r="R35"/>
  <c r="AH35" i="6"/>
  <c r="AI35"/>
  <c r="AJ35"/>
  <c r="AH43"/>
  <c r="G8" i="1"/>
  <c r="H8"/>
  <c r="F8"/>
  <c r="E35"/>
  <c r="R43" i="4"/>
  <c r="S35"/>
  <c r="T35"/>
  <c r="L43" i="1"/>
  <c r="F43"/>
  <c r="F35"/>
  <c r="P35" i="6"/>
  <c r="Q35"/>
  <c r="R35"/>
  <c r="P43"/>
  <c r="G35" i="4"/>
  <c r="H35"/>
  <c r="F35"/>
  <c r="O45" i="1"/>
  <c r="P42"/>
  <c r="U45"/>
  <c r="V42"/>
  <c r="D33"/>
  <c r="G33"/>
  <c r="H33"/>
  <c r="O33"/>
  <c r="P33"/>
  <c r="U33"/>
  <c r="V33"/>
  <c r="I33"/>
  <c r="M33"/>
  <c r="N33"/>
  <c r="J33"/>
  <c r="S33"/>
  <c r="T33"/>
  <c r="Y33"/>
  <c r="Z33"/>
  <c r="D32"/>
  <c r="G32"/>
  <c r="H32"/>
  <c r="I32"/>
  <c r="J32"/>
  <c r="U32"/>
  <c r="Y32"/>
  <c r="Z32"/>
  <c r="O32"/>
  <c r="S32"/>
  <c r="T32"/>
  <c r="D31"/>
  <c r="P32"/>
  <c r="G31"/>
  <c r="H31"/>
  <c r="I31"/>
  <c r="V32"/>
  <c r="U31"/>
  <c r="O31"/>
  <c r="M32"/>
  <c r="N32"/>
  <c r="V31"/>
  <c r="Y31"/>
  <c r="Z31"/>
  <c r="I30"/>
  <c r="O30"/>
  <c r="D30"/>
  <c r="G30"/>
  <c r="H30"/>
  <c r="U30"/>
  <c r="C29"/>
  <c r="P31"/>
  <c r="S31"/>
  <c r="T31"/>
  <c r="M31"/>
  <c r="N31"/>
  <c r="J31"/>
  <c r="Y30"/>
  <c r="Z30"/>
  <c r="V30"/>
  <c r="M30"/>
  <c r="N30"/>
  <c r="J30"/>
  <c r="G29"/>
  <c r="H29"/>
  <c r="U29"/>
  <c r="I29"/>
  <c r="C35"/>
  <c r="D29"/>
  <c r="O29"/>
  <c r="S30"/>
  <c r="T30"/>
  <c r="P30"/>
  <c r="M29"/>
  <c r="N29"/>
  <c r="J29"/>
  <c r="S29"/>
  <c r="T29"/>
  <c r="P29"/>
  <c r="U35"/>
  <c r="D35"/>
  <c r="O35"/>
  <c r="G35"/>
  <c r="H35"/>
  <c r="I35"/>
  <c r="V29"/>
  <c r="Y29"/>
  <c r="Z29"/>
  <c r="J35"/>
  <c r="M35"/>
  <c r="N35"/>
  <c r="J43"/>
  <c r="P35"/>
  <c r="S35"/>
  <c r="T35"/>
  <c r="P43"/>
  <c r="V43"/>
  <c r="V35"/>
  <c r="Y35"/>
  <c r="Z35"/>
</calcChain>
</file>

<file path=xl/sharedStrings.xml><?xml version="1.0" encoding="utf-8"?>
<sst xmlns="http://schemas.openxmlformats.org/spreadsheetml/2006/main" count="895" uniqueCount="238">
  <si>
    <t xml:space="preserve">N з/п </t>
  </si>
  <si>
    <t xml:space="preserve">Найменування показників </t>
  </si>
  <si>
    <t xml:space="preserve">Сумарні та середньо зважені показники                  </t>
  </si>
  <si>
    <t>Для потреб населення</t>
  </si>
  <si>
    <t>Для потреб бюджетних установ</t>
  </si>
  <si>
    <t xml:space="preserve">Для потреб інших споживачів </t>
  </si>
  <si>
    <t>тис.грн на рік</t>
  </si>
  <si>
    <t>грн/Гкал</t>
  </si>
  <si>
    <t xml:space="preserve">Виробнича собівартість, у т. ч.: </t>
  </si>
  <si>
    <t xml:space="preserve">прямі матеріальні витрати, у т. ч.: </t>
  </si>
  <si>
    <t xml:space="preserve">паливо </t>
  </si>
  <si>
    <t xml:space="preserve">електроенергія </t>
  </si>
  <si>
    <t xml:space="preserve">покупна теплова енергія та собівартість теплової енергії власних ТЕЦ, ТЕС, АЕС, когенераційних установок </t>
  </si>
  <si>
    <t xml:space="preserve">транспортування теплової енергії тепловими мережами інших підприємств </t>
  </si>
  <si>
    <t xml:space="preserve">вода для технологічних потреб та водовідведення </t>
  </si>
  <si>
    <t xml:space="preserve">матеріали, запасні частини та інші матеріальні ресурси </t>
  </si>
  <si>
    <t xml:space="preserve">прямі витрати на оплату праці </t>
  </si>
  <si>
    <t xml:space="preserve">інші прямі витрати, у т. ч.: </t>
  </si>
  <si>
    <t xml:space="preserve">відрахування на соціальні заходи </t>
  </si>
  <si>
    <t xml:space="preserve">амортизаційні відрахування </t>
  </si>
  <si>
    <t xml:space="preserve">інші прямі витрати </t>
  </si>
  <si>
    <t xml:space="preserve">загальновиробничі витрати, у т. ч.: </t>
  </si>
  <si>
    <t xml:space="preserve">витрати на оплату праці </t>
  </si>
  <si>
    <t xml:space="preserve">інші витрати </t>
  </si>
  <si>
    <t xml:space="preserve">Адміністративні витрати, у т. ч.: </t>
  </si>
  <si>
    <t xml:space="preserve">Витрати на збут, у т. ч.: </t>
  </si>
  <si>
    <t>Інші операційні витрати</t>
  </si>
  <si>
    <t xml:space="preserve">Фінансові витрати </t>
  </si>
  <si>
    <t>Повна собівартість</t>
  </si>
  <si>
    <t xml:space="preserve">Розрахунковий прибуток, у т. ч.: </t>
  </si>
  <si>
    <t xml:space="preserve">податок на прибуток </t>
  </si>
  <si>
    <t xml:space="preserve">дивіденди </t>
  </si>
  <si>
    <t xml:space="preserve">резервний фонд (капітал) </t>
  </si>
  <si>
    <t xml:space="preserve">на розвиток виробництва (виробничі інвестиції) </t>
  </si>
  <si>
    <t xml:space="preserve">інше використання прибутку </t>
  </si>
  <si>
    <t xml:space="preserve">Вартість  теплової енергії за відповідними тарифами </t>
  </si>
  <si>
    <t>Тарифи на теплову енергію, грн/Гкал</t>
  </si>
  <si>
    <t>1.1</t>
  </si>
  <si>
    <t>1.1.1</t>
  </si>
  <si>
    <t>1.1.2</t>
  </si>
  <si>
    <t>1.1.3</t>
  </si>
  <si>
    <t>1.1.4</t>
  </si>
  <si>
    <t>1.1.5</t>
  </si>
  <si>
    <t>1.1.6</t>
  </si>
  <si>
    <t>1.2</t>
  </si>
  <si>
    <t>1.3</t>
  </si>
  <si>
    <t>1.3.1</t>
  </si>
  <si>
    <t>1.3.2</t>
  </si>
  <si>
    <t>1.3.3</t>
  </si>
  <si>
    <t>1.4</t>
  </si>
  <si>
    <t>1.4.1</t>
  </si>
  <si>
    <t>1.4.2</t>
  </si>
  <si>
    <t>1.4.3</t>
  </si>
  <si>
    <t>2</t>
  </si>
  <si>
    <t>2.1</t>
  </si>
  <si>
    <t>2.2</t>
  </si>
  <si>
    <t>2.3</t>
  </si>
  <si>
    <t>3.1</t>
  </si>
  <si>
    <t>3.2</t>
  </si>
  <si>
    <t>3.3</t>
  </si>
  <si>
    <t>7.1</t>
  </si>
  <si>
    <t>7.2</t>
  </si>
  <si>
    <t>7.3</t>
  </si>
  <si>
    <t>7.4</t>
  </si>
  <si>
    <t>7.5</t>
  </si>
  <si>
    <t>%</t>
  </si>
  <si>
    <t>Відхилення (гр.5-гр.3)</t>
  </si>
  <si>
    <t>Відхилення (гр.11-гр.9)</t>
  </si>
  <si>
    <t>Відхилення (гр.17-гр.15)</t>
  </si>
  <si>
    <t>Відхилення (гр.23-гр.21)</t>
  </si>
  <si>
    <t>Відхилення (гр.7/гр.3*100)</t>
  </si>
  <si>
    <t>Відхилення (гр.13/гр.9*100)</t>
  </si>
  <si>
    <t>Відхилення (гр.19/гр.15*100)</t>
  </si>
  <si>
    <t>Відхилення (гр.25/гр.21*100)</t>
  </si>
  <si>
    <t xml:space="preserve">Объєм реалізації </t>
  </si>
  <si>
    <t>Объєм закупівлі</t>
  </si>
  <si>
    <t>Аналіз впливу результатів реалізації програми на структуру тарифу та фінансово-господарську діяльність у прогнозному періоді КП ТВКГ</t>
  </si>
  <si>
    <r>
      <t xml:space="preserve">Сумарні та середньо зважені показники  </t>
    </r>
    <r>
      <rPr>
        <b/>
        <sz val="7"/>
        <color indexed="8"/>
        <rFont val="Calibri"/>
        <family val="2"/>
        <charset val="204"/>
      </rPr>
      <t>після реалізації  ІП</t>
    </r>
  </si>
  <si>
    <r>
      <t xml:space="preserve">Для потреб населення </t>
    </r>
    <r>
      <rPr>
        <b/>
        <sz val="7"/>
        <color indexed="8"/>
        <rFont val="Calibri"/>
        <family val="2"/>
        <charset val="204"/>
      </rPr>
      <t>після реалізації  ІП</t>
    </r>
  </si>
  <si>
    <r>
      <t xml:space="preserve">Для потреб бюджетних установ </t>
    </r>
    <r>
      <rPr>
        <b/>
        <sz val="7"/>
        <color indexed="8"/>
        <rFont val="Calibri"/>
        <family val="2"/>
        <charset val="204"/>
      </rPr>
      <t>після реалізації  ІП</t>
    </r>
  </si>
  <si>
    <r>
      <t xml:space="preserve">Для потреб інших споживачів </t>
    </r>
    <r>
      <rPr>
        <b/>
        <sz val="7"/>
        <color indexed="8"/>
        <rFont val="Calibri"/>
        <family val="2"/>
        <charset val="204"/>
      </rPr>
      <t>після реалізації  ІП</t>
    </r>
  </si>
  <si>
    <t>Виконавець                                                 Азаріна А.О.                                (05136) 25887</t>
  </si>
  <si>
    <t xml:space="preserve">             Директор КП ТВКГ                                                                   Д.М. Мірошник</t>
  </si>
  <si>
    <t xml:space="preserve">             Директор КП ТВКГ                                                    Потюк В.Д.              </t>
  </si>
  <si>
    <t>виконав:                                                 Павлунков В.І.                                                   (05136) 25887</t>
  </si>
  <si>
    <t>Додаток 5                                                                                                                                            до Порядку розроблення, погодження та затвердження інвестиційних програм суб’єктів господарювання у сфері теплопостачання</t>
  </si>
  <si>
    <t>ПОГОДЖЕНО</t>
  </si>
  <si>
    <t xml:space="preserve">ЗАТВЕРДЖЕНО                         </t>
  </si>
  <si>
    <t>Рішення Южноукраїнської міської ради</t>
  </si>
  <si>
    <t>Директор КП ТВКГ</t>
  </si>
  <si>
    <t>(найменування органу місцевого самоврядування)</t>
  </si>
  <si>
    <t>(посадова особа ліцензіата)</t>
  </si>
  <si>
    <t xml:space="preserve">від         № </t>
  </si>
  <si>
    <t>_______________В.Д.Потюк</t>
  </si>
  <si>
    <t>(підпис)</t>
  </si>
  <si>
    <t>(П.І.Б.)</t>
  </si>
  <si>
    <t>"____"_______________ 20____ року</t>
  </si>
  <si>
    <t>М.П.</t>
  </si>
  <si>
    <t>Комунальне підприємство "Теплопостачання та водоканалізаційне господарство"</t>
  </si>
  <si>
    <t xml:space="preserve">(найменування ліцензіата)  </t>
  </si>
  <si>
    <t>№ з/п</t>
  </si>
  <si>
    <t>Найменування заходів (пооб'єктно)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</si>
  <si>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</si>
  <si>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тис. грн. (без ПДВ)</t>
  </si>
  <si>
    <r>
      <t xml:space="preserve">Строк окупності (місяців) </t>
    </r>
    <r>
      <rPr>
        <b/>
        <sz val="10"/>
        <rFont val="Times New Roman"/>
        <family val="1"/>
        <charset val="204"/>
      </rPr>
      <t>*</t>
    </r>
  </si>
  <si>
    <t>№ аркуша обґрунтовуючих матеріалів</t>
  </si>
  <si>
    <t>Економія паливно-енергетичних ресурсів                  (тонни умовного палива/прогнозний період)</t>
  </si>
  <si>
    <t>Економія фонду заробітної плати (тис. грн./рік)</t>
  </si>
  <si>
    <r>
      <t xml:space="preserve">Економічний ефект (тис. грн.) </t>
    </r>
    <r>
      <rPr>
        <b/>
        <sz val="10"/>
        <rFont val="Times New Roman"/>
        <family val="1"/>
        <charset val="204"/>
      </rPr>
      <t xml:space="preserve">** </t>
    </r>
  </si>
  <si>
    <t xml:space="preserve">загальна сума </t>
  </si>
  <si>
    <t>І</t>
  </si>
  <si>
    <t>Виробництво теплової енергії</t>
  </si>
  <si>
    <t xml:space="preserve"> 1.1</t>
  </si>
  <si>
    <r>
      <t xml:space="preserve"> Будівництво, реконструкція та модернізація об</t>
    </r>
    <r>
      <rPr>
        <b/>
        <sz val="10"/>
        <rFont val="Calibri"/>
        <family val="2"/>
        <charset val="204"/>
      </rPr>
      <t>’</t>
    </r>
    <r>
      <rPr>
        <b/>
        <sz val="10"/>
        <rFont val="Times New Roman"/>
        <family val="1"/>
        <charset val="204"/>
      </rPr>
      <t>єктів теплопостачання (звільняється від оподаткування згідно з пунктом 154.9 статті 154  Податкового кодексу України), з урахуванням:</t>
    </r>
  </si>
  <si>
    <t xml:space="preserve">  1.1.1</t>
  </si>
  <si>
    <t>Заходи зі зниження питомих витрат, а також втрат ресурсів, з них:</t>
  </si>
  <si>
    <t>х </t>
  </si>
  <si>
    <t>Усього за підпунктом 1.1.1</t>
  </si>
  <si>
    <t xml:space="preserve">  1.1.2 </t>
  </si>
  <si>
    <t>Заходи щодо забезпечення технологічного та/або комерційного обліку ресурсів, з них:</t>
  </si>
  <si>
    <t>Усього за підпунктом 1.1.2</t>
  </si>
  <si>
    <t xml:space="preserve">  1.1.3</t>
  </si>
  <si>
    <t>Інші заходи, з них:</t>
  </si>
  <si>
    <t>Усього за підпунктом 1.1.3</t>
  </si>
  <si>
    <t>Усього за пунктом 1.1</t>
  </si>
  <si>
    <t xml:space="preserve">  1.2</t>
  </si>
  <si>
    <t xml:space="preserve">Інші заходи (не звільняється від оподаткування згідно з пунктом 154.9 статті 154 Податкового кодексу України), з урахуванням:  </t>
  </si>
  <si>
    <t xml:space="preserve"> 1.2.1</t>
  </si>
  <si>
    <t>Усього за підпунктом 1.2.1</t>
  </si>
  <si>
    <t xml:space="preserve"> 1.2.2</t>
  </si>
  <si>
    <t>Усього за підпунктом 1.2.2</t>
  </si>
  <si>
    <t xml:space="preserve"> 1.2.3</t>
  </si>
  <si>
    <t>Заходи щодо впровадження та розвитку інформаційних технологій, з них:</t>
  </si>
  <si>
    <t>Усього за підпунктом 1.2.3</t>
  </si>
  <si>
    <t>Продовження додатка 5</t>
  </si>
  <si>
    <t xml:space="preserve">  1.2.4</t>
  </si>
  <si>
    <t>Заходи щодо модернізації та закупівлі транспортних засобів спеціального та спеціалізованого призначення, з них:</t>
  </si>
  <si>
    <t>Усього за підпунктом 1.2.4</t>
  </si>
  <si>
    <t xml:space="preserve"> 1.2.5</t>
  </si>
  <si>
    <t>Усього за підпунктом 1.2.5</t>
  </si>
  <si>
    <t>Усього за пунктом 1.2</t>
  </si>
  <si>
    <t>Усього за розділом І</t>
  </si>
  <si>
    <t>ІІ</t>
  </si>
  <si>
    <t>Транспортування теплової енергії</t>
  </si>
  <si>
    <t xml:space="preserve"> 2.1</t>
  </si>
  <si>
    <t xml:space="preserve"> Будівництво, реконструкція та модернізація об'єктів теплопостачання (звільняється від оподаткування згідно з пунктом 154.9 статті 154 Податкового кодексу України), з урахуванням:</t>
  </si>
  <si>
    <t xml:space="preserve">  2.1.1</t>
  </si>
  <si>
    <t>Усього за підпунктом 2.1.1</t>
  </si>
  <si>
    <t xml:space="preserve">  2.1.2 </t>
  </si>
  <si>
    <t>Технічне переоснащення інженерних вводів  з встановленням приладів обліку теплової енергії і гарячого водопостачання  житлових будинків (2016 рік)</t>
  </si>
  <si>
    <t>270</t>
  </si>
  <si>
    <t xml:space="preserve">  2.1.3</t>
  </si>
  <si>
    <t>Усього за пунктом 2.1</t>
  </si>
  <si>
    <t xml:space="preserve">  2.2</t>
  </si>
  <si>
    <t>Усього за підпунктом 2.2.3</t>
  </si>
  <si>
    <t>х</t>
  </si>
  <si>
    <t xml:space="preserve">  2.2.4</t>
  </si>
  <si>
    <t>Усього за підпунктом 2.2.4</t>
  </si>
  <si>
    <t xml:space="preserve"> 2.2.5</t>
  </si>
  <si>
    <t>Усього за підпунктом 2.2.5</t>
  </si>
  <si>
    <t>Усього за пунктом 2.2</t>
  </si>
  <si>
    <t>Усього за розділом ІІ</t>
  </si>
  <si>
    <t>ІІІ</t>
  </si>
  <si>
    <t>Постачання теплової енергії</t>
  </si>
  <si>
    <t xml:space="preserve"> 3.1</t>
  </si>
  <si>
    <r>
      <t xml:space="preserve"> Будівництво, реконструкція та модернізація об</t>
    </r>
    <r>
      <rPr>
        <b/>
        <sz val="10"/>
        <rFont val="Calibri"/>
        <family val="2"/>
        <charset val="204"/>
      </rPr>
      <t>’</t>
    </r>
    <r>
      <rPr>
        <b/>
        <sz val="10"/>
        <rFont val="Times New Roman"/>
        <family val="1"/>
        <charset val="204"/>
      </rPr>
      <t>єктів теплопостачання (звільняється від оподаткування згідно з пунктом 154.9 статті 154 Податкового кодексу України), з урахуванням:</t>
    </r>
  </si>
  <si>
    <t xml:space="preserve">  3.1.1</t>
  </si>
  <si>
    <t>Усього за підпунктом 3.1.1</t>
  </si>
  <si>
    <t xml:space="preserve">  3.1.2</t>
  </si>
  <si>
    <t>Усього за підпунктом 3.1.2</t>
  </si>
  <si>
    <t xml:space="preserve">  3.1.3</t>
  </si>
  <si>
    <t>Усього за підпунктом 3.1.3</t>
  </si>
  <si>
    <t>Усього за пунктом 3.1</t>
  </si>
  <si>
    <t xml:space="preserve">  3.2</t>
  </si>
  <si>
    <t xml:space="preserve"> 3.2.1</t>
  </si>
  <si>
    <t>Усього за підпунктом 3.2.1</t>
  </si>
  <si>
    <t xml:space="preserve"> 3.2.2</t>
  </si>
  <si>
    <t>Усього за підпунктом 3.2.2</t>
  </si>
  <si>
    <t xml:space="preserve"> 3.2.3</t>
  </si>
  <si>
    <t>Усього за підпунктом 3.2.3</t>
  </si>
  <si>
    <t xml:space="preserve">  3.2.4</t>
  </si>
  <si>
    <t>Усього за підпунктом3.2.4</t>
  </si>
  <si>
    <t xml:space="preserve"> 3.2.5</t>
  </si>
  <si>
    <t>Усього за підпунктом 3.2.5</t>
  </si>
  <si>
    <t>Усього за пунктом 3.2</t>
  </si>
  <si>
    <t>Усього за розділом ІІІ</t>
  </si>
  <si>
    <t>Усього за інвестиційною програмою</t>
  </si>
  <si>
    <t>Примітки:</t>
  </si>
  <si>
    <t>* Суми витрат по заходах та економічний ефект від їх упровадження  при розрахунку строку окупності враховувати без ПДВ.</t>
  </si>
  <si>
    <t>** Складові розрахунку економічного ефекту від упровадження  заходів ураховувати без ПДВ.</t>
  </si>
  <si>
    <t>х - ліцензіатом не заповнюється.</t>
  </si>
  <si>
    <t xml:space="preserve">   (підпис)</t>
  </si>
  <si>
    <r>
      <t>(прізвище, ім</t>
    </r>
    <r>
      <rPr>
        <sz val="9"/>
        <rFont val="Calibri"/>
        <family val="2"/>
        <charset val="204"/>
      </rPr>
      <t>’</t>
    </r>
    <r>
      <rPr>
        <sz val="9"/>
        <rFont val="Times New Roman"/>
        <family val="1"/>
        <charset val="204"/>
      </rPr>
      <t>я, по батькові)</t>
    </r>
  </si>
  <si>
    <t xml:space="preserve">М.В.Бацман  </t>
  </si>
  <si>
    <t>заступник міського голови з питань діяльності виконавчих органів ради</t>
  </si>
  <si>
    <t xml:space="preserve">Пояснення до фінансового плану використання коштів для  виконання  інвестиційної програми </t>
  </si>
  <si>
    <t>Кошти, що враховуються у структури тарифів тис.грн (без ПДВ)</t>
  </si>
  <si>
    <t>За способом виконання, тис.грн (без ПДВ)</t>
  </si>
  <si>
    <t>господарський (вартість матеріальних ресурсів)</t>
  </si>
  <si>
    <t xml:space="preserve">підрядний </t>
  </si>
  <si>
    <t>Строк окупності (місяців)</t>
  </si>
  <si>
    <t>№ аркуша обгрунтовуючих матеріалів</t>
  </si>
  <si>
    <t>Економія паливо-енергетичних ресурсів (тони умовного палива/прогнозний період</t>
  </si>
  <si>
    <t>Економія паливно-енергетичних ресурсів (тис. грн)</t>
  </si>
  <si>
    <t>Економія фонду заробітної плати (тис.грн/рік)</t>
  </si>
  <si>
    <t xml:space="preserve">Економія вигоди від зростання капіталізації основних фондів (збільшення амортизаційних відрахувань) </t>
  </si>
  <si>
    <t>Економічний ефект від зменьшення витрат на ремонти (тис.грн)</t>
  </si>
  <si>
    <t>Планова вартість зворотних матеріалів, отриманих від демонтованого обладнання (тис.грн)</t>
  </si>
  <si>
    <t>Економічний  ефект за перший рік з урахуванням вартості зворотніх матеріалів (тис.грн)</t>
  </si>
  <si>
    <t>Економічний  ефект за другий та наступний роки  з урахуванням вартості зворотніх матеріалів (тис.грн)</t>
  </si>
  <si>
    <t>Стан основного обладнання</t>
  </si>
  <si>
    <t xml:space="preserve">До впровадження заходу </t>
  </si>
  <si>
    <t>Після впровадження заходу</t>
  </si>
  <si>
    <t>2.1.1.1</t>
  </si>
  <si>
    <t xml:space="preserve">Постачання теплової ененргії </t>
  </si>
  <si>
    <t xml:space="preserve">Директор КП ТВКГ </t>
  </si>
  <si>
    <t xml:space="preserve">                                          В.Д. Потюк</t>
  </si>
  <si>
    <t>(посада)</t>
  </si>
  <si>
    <t xml:space="preserve">виконав: </t>
  </si>
  <si>
    <t>ПВВ</t>
  </si>
  <si>
    <t>відсутність приладів обліку теплової енергіїї</t>
  </si>
  <si>
    <t xml:space="preserve">удосконалення розрахунків, фінансових взаємовідносин між теплопостачальним підприємством та споживачами теплової енергії </t>
  </si>
  <si>
    <t>-</t>
  </si>
  <si>
    <t>Аналіз впливу результатів реалізації програми на структуру тарифу та фінансово-господарську діяльність у прогнозному періоді Комунальне підприємство "Теплопостачання та водоканалізаційне господарство"</t>
  </si>
  <si>
    <t>№521 бюджет січень-лютий</t>
  </si>
  <si>
    <t>№521 інші січень-лютий</t>
  </si>
  <si>
    <t>№278 бюджет березень</t>
  </si>
  <si>
    <t>№278 інші березень</t>
  </si>
  <si>
    <t>№1140 квітень-грудень бюджет</t>
  </si>
  <si>
    <t>№1140 квітень-грудень інші</t>
  </si>
  <si>
    <t>№ 567 населення січень-березень</t>
  </si>
  <si>
    <t>№ 1167 квітень-грудень</t>
  </si>
  <si>
    <t>Середньозваж</t>
  </si>
  <si>
    <t>Всего середньозваж</t>
  </si>
  <si>
    <t>прямі витрати на оплату праці  з  відрахуваннями</t>
  </si>
  <si>
    <t xml:space="preserve">витрати на оплату праці з відрахуваннями </t>
  </si>
  <si>
    <t>виконав:  ПЕО                                                                                              (05136) 25887</t>
  </si>
  <si>
    <t xml:space="preserve">            в.о.  директора КП ТВКГ                                                    Булгаров В.Г.              </t>
  </si>
</sst>
</file>

<file path=xl/styles.xml><?xml version="1.0" encoding="utf-8"?>
<styleSheet xmlns="http://schemas.openxmlformats.org/spreadsheetml/2006/main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0"/>
    <numFmt numFmtId="167" formatCode="0.00000"/>
  </numFmts>
  <fonts count="42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indexed="8"/>
      <name val="Calibri"/>
      <family val="2"/>
      <charset val="204"/>
    </font>
    <font>
      <sz val="7"/>
      <name val="Times New Roman"/>
      <family val="1"/>
      <charset val="204"/>
    </font>
    <font>
      <sz val="7"/>
      <color indexed="8"/>
      <name val="Calibri"/>
      <family val="2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sz val="7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name val="Calibri"/>
      <family val="2"/>
    </font>
    <font>
      <sz val="11"/>
      <color indexed="8"/>
      <name val="Calibri"/>
      <family val="2"/>
    </font>
    <font>
      <sz val="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name val="Arial Cyr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Arial Cyr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Calibri"/>
      <family val="2"/>
      <charset val="204"/>
    </font>
    <font>
      <b/>
      <sz val="7"/>
      <name val="Calibri"/>
      <family val="2"/>
    </font>
    <font>
      <b/>
      <sz val="7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7"/>
      <color indexed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9" fillId="0" borderId="0"/>
    <xf numFmtId="44" fontId="15" fillId="0" borderId="0" applyFont="0" applyFill="0" applyBorder="0" applyAlignment="0" applyProtection="0"/>
    <xf numFmtId="0" fontId="2" fillId="0" borderId="0"/>
    <xf numFmtId="0" fontId="2" fillId="0" borderId="0"/>
    <xf numFmtId="43" fontId="15" fillId="0" borderId="0" applyFont="0" applyFill="0" applyBorder="0" applyAlignment="0" applyProtection="0"/>
  </cellStyleXfs>
  <cellXfs count="286">
    <xf numFmtId="0" fontId="0" fillId="0" borderId="0" xfId="0"/>
    <xf numFmtId="0" fontId="0" fillId="0" borderId="0" xfId="0" applyAlignment="1">
      <alignment wrapText="1"/>
    </xf>
    <xf numFmtId="0" fontId="3" fillId="0" borderId="0" xfId="4" applyFont="1" applyFill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0" fontId="2" fillId="0" borderId="0" xfId="4" applyFill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6" fillId="0" borderId="1" xfId="4" applyFont="1" applyFill="1" applyBorder="1" applyAlignment="1">
      <alignment horizontal="center" vertical="center" wrapText="1"/>
    </xf>
    <xf numFmtId="49" fontId="8" fillId="0" borderId="1" xfId="4" applyNumberFormat="1" applyFont="1" applyFill="1" applyBorder="1" applyAlignment="1">
      <alignment horizontal="center" vertical="center" wrapText="1"/>
    </xf>
    <xf numFmtId="0" fontId="9" fillId="0" borderId="2" xfId="0" applyFont="1" applyBorder="1"/>
    <xf numFmtId="0" fontId="6" fillId="0" borderId="3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/>
    </xf>
    <xf numFmtId="0" fontId="9" fillId="0" borderId="1" xfId="0" applyFont="1" applyBorder="1"/>
    <xf numFmtId="0" fontId="11" fillId="0" borderId="1" xfId="4" applyFont="1" applyFill="1" applyBorder="1" applyAlignment="1">
      <alignment horizontal="center" vertical="center"/>
    </xf>
    <xf numFmtId="0" fontId="12" fillId="0" borderId="2" xfId="0" applyFont="1" applyBorder="1"/>
    <xf numFmtId="0" fontId="12" fillId="2" borderId="2" xfId="0" applyFont="1" applyFill="1" applyBorder="1"/>
    <xf numFmtId="0" fontId="13" fillId="2" borderId="2" xfId="0" applyFont="1" applyFill="1" applyBorder="1"/>
    <xf numFmtId="0" fontId="13" fillId="2" borderId="2" xfId="0" applyFont="1" applyFill="1" applyBorder="1" applyAlignment="1">
      <alignment wrapText="1"/>
    </xf>
    <xf numFmtId="0" fontId="13" fillId="0" borderId="2" xfId="0" applyFont="1" applyBorder="1"/>
    <xf numFmtId="0" fontId="13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3" fillId="0" borderId="1" xfId="0" applyFont="1" applyBorder="1"/>
    <xf numFmtId="0" fontId="9" fillId="0" borderId="5" xfId="0" applyFont="1" applyBorder="1"/>
    <xf numFmtId="2" fontId="9" fillId="0" borderId="1" xfId="0" applyNumberFormat="1" applyFont="1" applyBorder="1"/>
    <xf numFmtId="2" fontId="9" fillId="0" borderId="6" xfId="0" applyNumberFormat="1" applyFont="1" applyBorder="1"/>
    <xf numFmtId="2" fontId="9" fillId="0" borderId="5" xfId="0" applyNumberFormat="1" applyFont="1" applyBorder="1"/>
    <xf numFmtId="1" fontId="9" fillId="0" borderId="5" xfId="0" applyNumberFormat="1" applyFont="1" applyBorder="1"/>
    <xf numFmtId="0" fontId="9" fillId="0" borderId="6" xfId="0" applyFont="1" applyBorder="1"/>
    <xf numFmtId="1" fontId="9" fillId="0" borderId="1" xfId="0" applyNumberFormat="1" applyFont="1" applyBorder="1"/>
    <xf numFmtId="0" fontId="9" fillId="0" borderId="0" xfId="0" applyFont="1"/>
    <xf numFmtId="2" fontId="9" fillId="0" borderId="7" xfId="0" applyNumberFormat="1" applyFont="1" applyBorder="1"/>
    <xf numFmtId="0" fontId="9" fillId="0" borderId="3" xfId="0" applyFont="1" applyBorder="1"/>
    <xf numFmtId="0" fontId="9" fillId="0" borderId="8" xfId="0" applyFont="1" applyBorder="1"/>
    <xf numFmtId="0" fontId="9" fillId="0" borderId="7" xfId="0" applyFont="1" applyBorder="1"/>
    <xf numFmtId="2" fontId="9" fillId="0" borderId="3" xfId="0" applyNumberFormat="1" applyFont="1" applyBorder="1"/>
    <xf numFmtId="164" fontId="9" fillId="0" borderId="1" xfId="0" applyNumberFormat="1" applyFont="1" applyBorder="1"/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8" fillId="0" borderId="1" xfId="4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/>
    <xf numFmtId="2" fontId="16" fillId="0" borderId="1" xfId="0" applyNumberFormat="1" applyFont="1" applyBorder="1"/>
    <xf numFmtId="0" fontId="16" fillId="0" borderId="1" xfId="0" applyFont="1" applyBorder="1"/>
    <xf numFmtId="164" fontId="16" fillId="0" borderId="1" xfId="0" applyNumberFormat="1" applyFont="1" applyBorder="1"/>
    <xf numFmtId="0" fontId="9" fillId="0" borderId="1" xfId="0" applyFont="1" applyFill="1" applyBorder="1" applyAlignment="1">
      <alignment horizontal="center" vertical="center" wrapText="1"/>
    </xf>
    <xf numFmtId="1" fontId="16" fillId="0" borderId="1" xfId="0" applyNumberFormat="1" applyFont="1" applyBorder="1"/>
    <xf numFmtId="2" fontId="16" fillId="0" borderId="3" xfId="0" applyNumberFormat="1" applyFont="1" applyBorder="1"/>
    <xf numFmtId="0" fontId="9" fillId="0" borderId="0" xfId="0" applyFont="1" applyBorder="1"/>
    <xf numFmtId="0" fontId="17" fillId="0" borderId="0" xfId="0" applyFont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0" fillId="0" borderId="0" xfId="0" applyFont="1" applyFill="1" applyAlignment="1">
      <alignment horizontal="left" wrapText="1"/>
    </xf>
    <xf numFmtId="0" fontId="3" fillId="0" borderId="0" xfId="0" applyFont="1" applyFill="1" applyBorder="1"/>
    <xf numFmtId="0" fontId="4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left" wrapText="1"/>
    </xf>
    <xf numFmtId="49" fontId="24" fillId="0" borderId="0" xfId="0" applyNumberFormat="1" applyFont="1" applyFill="1"/>
    <xf numFmtId="49" fontId="25" fillId="0" borderId="0" xfId="0" applyNumberFormat="1" applyFont="1" applyFill="1"/>
    <xf numFmtId="0" fontId="26" fillId="0" borderId="0" xfId="0" applyFont="1" applyFill="1" applyAlignment="1"/>
    <xf numFmtId="0" fontId="24" fillId="0" borderId="0" xfId="0" applyFont="1" applyFill="1" applyAlignment="1">
      <alignment horizontal="left" wrapText="1"/>
    </xf>
    <xf numFmtId="49" fontId="23" fillId="0" borderId="0" xfId="0" applyNumberFormat="1" applyFont="1" applyFill="1" applyAlignment="1"/>
    <xf numFmtId="0" fontId="24" fillId="0" borderId="0" xfId="0" applyFont="1" applyFill="1"/>
    <xf numFmtId="49" fontId="23" fillId="0" borderId="0" xfId="0" applyNumberFormat="1" applyFont="1" applyFill="1" applyAlignment="1">
      <alignment horizontal="left"/>
    </xf>
    <xf numFmtId="49" fontId="26" fillId="0" borderId="0" xfId="0" applyNumberFormat="1" applyFont="1" applyFill="1"/>
    <xf numFmtId="0" fontId="23" fillId="0" borderId="0" xfId="0" applyFont="1" applyFill="1" applyAlignment="1">
      <alignment horizontal="center" vertical="top"/>
    </xf>
    <xf numFmtId="0" fontId="24" fillId="0" borderId="0" xfId="0" applyFont="1" applyFill="1" applyAlignment="1">
      <alignment vertical="top"/>
    </xf>
    <xf numFmtId="0" fontId="23" fillId="0" borderId="0" xfId="0" applyFont="1" applyFill="1" applyAlignment="1">
      <alignment horizontal="left"/>
    </xf>
    <xf numFmtId="0" fontId="26" fillId="0" borderId="0" xfId="0" applyFont="1" applyFill="1"/>
    <xf numFmtId="0" fontId="27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 wrapText="1"/>
    </xf>
    <xf numFmtId="0" fontId="29" fillId="0" borderId="1" xfId="1" applyFont="1" applyFill="1" applyBorder="1" applyAlignment="1" applyProtection="1">
      <alignment horizontal="center" wrapText="1"/>
      <protection locked="0"/>
    </xf>
    <xf numFmtId="0" fontId="29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/>
    <xf numFmtId="16" fontId="3" fillId="0" borderId="1" xfId="0" applyNumberFormat="1" applyFont="1" applyFill="1" applyBorder="1" applyAlignment="1">
      <alignment horizontal="center"/>
    </xf>
    <xf numFmtId="0" fontId="29" fillId="0" borderId="13" xfId="0" applyFont="1" applyFill="1" applyBorder="1" applyAlignment="1"/>
    <xf numFmtId="14" fontId="3" fillId="0" borderId="1" xfId="0" applyNumberFormat="1" applyFont="1" applyFill="1" applyBorder="1" applyAlignment="1">
      <alignment horizontal="center"/>
    </xf>
    <xf numFmtId="0" fontId="29" fillId="0" borderId="0" xfId="0" applyFont="1" applyFill="1" applyBorder="1" applyAlignment="1"/>
    <xf numFmtId="3" fontId="3" fillId="0" borderId="1" xfId="3" applyNumberFormat="1" applyFont="1" applyFill="1" applyBorder="1" applyAlignment="1">
      <alignment horizontal="center" wrapText="1"/>
    </xf>
    <xf numFmtId="0" fontId="29" fillId="0" borderId="1" xfId="0" applyFont="1" applyFill="1" applyBorder="1" applyAlignment="1"/>
    <xf numFmtId="0" fontId="29" fillId="0" borderId="0" xfId="0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0" xfId="0" applyFont="1" applyFill="1" applyBorder="1" applyAlignment="1"/>
    <xf numFmtId="0" fontId="3" fillId="0" borderId="1" xfId="0" applyFont="1" applyFill="1" applyBorder="1" applyAlignment="1"/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 vertical="top" wrapText="1"/>
    </xf>
    <xf numFmtId="49" fontId="31" fillId="0" borderId="1" xfId="0" applyNumberFormat="1" applyFont="1" applyFill="1" applyBorder="1" applyAlignment="1">
      <alignment horizontal="center"/>
    </xf>
    <xf numFmtId="165" fontId="29" fillId="0" borderId="1" xfId="0" applyNumberFormat="1" applyFont="1" applyFill="1" applyBorder="1" applyAlignment="1">
      <alignment horizontal="center"/>
    </xf>
    <xf numFmtId="164" fontId="29" fillId="0" borderId="1" xfId="0" applyNumberFormat="1" applyFont="1" applyFill="1" applyBorder="1" applyAlignment="1">
      <alignment horizontal="center"/>
    </xf>
    <xf numFmtId="49" fontId="32" fillId="0" borderId="1" xfId="0" applyNumberFormat="1" applyFont="1" applyFill="1" applyBorder="1" applyAlignment="1">
      <alignment horizontal="center" vertical="top" wrapText="1"/>
    </xf>
    <xf numFmtId="49" fontId="29" fillId="0" borderId="1" xfId="0" applyNumberFormat="1" applyFont="1" applyFill="1" applyBorder="1" applyAlignment="1">
      <alignment horizontal="center" wrapText="1"/>
    </xf>
    <xf numFmtId="2" fontId="29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44" fontId="3" fillId="0" borderId="1" xfId="2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0" borderId="0" xfId="3" applyNumberFormat="1" applyFont="1" applyFill="1" applyBorder="1" applyAlignment="1">
      <alignment horizontal="center" wrapText="1"/>
    </xf>
    <xf numFmtId="3" fontId="4" fillId="0" borderId="0" xfId="3" applyNumberFormat="1" applyFont="1" applyFill="1" applyBorder="1" applyAlignment="1">
      <alignment horizontal="center" wrapText="1"/>
    </xf>
    <xf numFmtId="3" fontId="29" fillId="0" borderId="1" xfId="3" applyNumberFormat="1" applyFont="1" applyFill="1" applyBorder="1" applyAlignment="1">
      <alignment horizontal="center" wrapText="1"/>
    </xf>
    <xf numFmtId="0" fontId="29" fillId="2" borderId="1" xfId="0" applyFont="1" applyFill="1" applyBorder="1" applyAlignment="1">
      <alignment horizontal="center"/>
    </xf>
    <xf numFmtId="0" fontId="2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0" fontId="25" fillId="0" borderId="0" xfId="0" applyFont="1" applyFill="1" applyBorder="1"/>
    <xf numFmtId="0" fontId="25" fillId="0" borderId="0" xfId="0" applyFont="1" applyFill="1"/>
    <xf numFmtId="0" fontId="22" fillId="0" borderId="0" xfId="0" applyFont="1" applyFill="1" applyAlignment="1">
      <alignment wrapText="1"/>
    </xf>
    <xf numFmtId="0" fontId="22" fillId="0" borderId="0" xfId="0" applyFont="1" applyFill="1"/>
    <xf numFmtId="0" fontId="22" fillId="0" borderId="0" xfId="0" applyFont="1" applyFill="1" applyAlignment="1"/>
    <xf numFmtId="43" fontId="22" fillId="0" borderId="0" xfId="5" applyFont="1" applyFill="1" applyAlignment="1"/>
    <xf numFmtId="0" fontId="20" fillId="0" borderId="0" xfId="0" applyFont="1" applyFill="1"/>
    <xf numFmtId="0" fontId="3" fillId="0" borderId="0" xfId="0" applyFont="1" applyFill="1" applyAlignment="1">
      <alignment horizontal="left"/>
    </xf>
    <xf numFmtId="0" fontId="20" fillId="0" borderId="1" xfId="0" applyFont="1" applyFill="1" applyBorder="1" applyAlignment="1">
      <alignment horizontal="center" vertical="center" wrapText="1"/>
    </xf>
    <xf numFmtId="3" fontId="3" fillId="0" borderId="1" xfId="3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43" fontId="20" fillId="0" borderId="0" xfId="5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166" fontId="3" fillId="0" borderId="1" xfId="3" applyNumberFormat="1" applyFont="1" applyFill="1" applyBorder="1" applyAlignment="1">
      <alignment horizont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6" fontId="3" fillId="0" borderId="1" xfId="3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9" fillId="0" borderId="14" xfId="0" applyFont="1" applyBorder="1"/>
    <xf numFmtId="2" fontId="9" fillId="0" borderId="14" xfId="0" applyNumberFormat="1" applyFont="1" applyBorder="1"/>
    <xf numFmtId="0" fontId="9" fillId="0" borderId="15" xfId="0" applyFont="1" applyBorder="1"/>
    <xf numFmtId="0" fontId="9" fillId="0" borderId="16" xfId="0" applyFont="1" applyBorder="1"/>
    <xf numFmtId="0" fontId="16" fillId="0" borderId="15" xfId="0" applyFont="1" applyBorder="1"/>
    <xf numFmtId="0" fontId="16" fillId="0" borderId="3" xfId="0" applyFont="1" applyBorder="1"/>
    <xf numFmtId="2" fontId="9" fillId="0" borderId="17" xfId="0" applyNumberFormat="1" applyFont="1" applyBorder="1"/>
    <xf numFmtId="0" fontId="9" fillId="0" borderId="17" xfId="0" applyFont="1" applyBorder="1"/>
    <xf numFmtId="0" fontId="9" fillId="0" borderId="18" xfId="0" applyFont="1" applyBorder="1"/>
    <xf numFmtId="2" fontId="16" fillId="0" borderId="17" xfId="0" applyNumberFormat="1" applyFont="1" applyBorder="1"/>
    <xf numFmtId="0" fontId="16" fillId="0" borderId="17" xfId="0" applyFont="1" applyBorder="1"/>
    <xf numFmtId="2" fontId="9" fillId="0" borderId="18" xfId="0" applyNumberFormat="1" applyFont="1" applyBorder="1"/>
    <xf numFmtId="0" fontId="8" fillId="0" borderId="19" xfId="4" applyNumberFormat="1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2" fontId="7" fillId="0" borderId="1" xfId="0" applyNumberFormat="1" applyFont="1" applyBorder="1"/>
    <xf numFmtId="165" fontId="9" fillId="0" borderId="1" xfId="0" applyNumberFormat="1" applyFont="1" applyBorder="1"/>
    <xf numFmtId="0" fontId="34" fillId="0" borderId="1" xfId="0" applyFont="1" applyBorder="1"/>
    <xf numFmtId="2" fontId="35" fillId="0" borderId="1" xfId="0" applyNumberFormat="1" applyFont="1" applyBorder="1"/>
    <xf numFmtId="1" fontId="35" fillId="0" borderId="1" xfId="0" applyNumberFormat="1" applyFont="1" applyBorder="1"/>
    <xf numFmtId="0" fontId="35" fillId="0" borderId="1" xfId="0" applyFont="1" applyBorder="1"/>
    <xf numFmtId="2" fontId="35" fillId="0" borderId="14" xfId="0" applyNumberFormat="1" applyFont="1" applyBorder="1"/>
    <xf numFmtId="2" fontId="34" fillId="0" borderId="1" xfId="0" applyNumberFormat="1" applyFont="1" applyBorder="1"/>
    <xf numFmtId="2" fontId="35" fillId="0" borderId="17" xfId="0" applyNumberFormat="1" applyFont="1" applyBorder="1"/>
    <xf numFmtId="2" fontId="34" fillId="0" borderId="17" xfId="0" applyNumberFormat="1" applyFont="1" applyBorder="1"/>
    <xf numFmtId="0" fontId="36" fillId="0" borderId="0" xfId="0" applyFont="1"/>
    <xf numFmtId="1" fontId="34" fillId="0" borderId="1" xfId="0" applyNumberFormat="1" applyFont="1" applyBorder="1"/>
    <xf numFmtId="2" fontId="7" fillId="0" borderId="17" xfId="0" applyNumberFormat="1" applyFont="1" applyBorder="1"/>
    <xf numFmtId="1" fontId="35" fillId="0" borderId="17" xfId="0" applyNumberFormat="1" applyFont="1" applyBorder="1"/>
    <xf numFmtId="2" fontId="13" fillId="2" borderId="2" xfId="0" applyNumberFormat="1" applyFont="1" applyFill="1" applyBorder="1"/>
    <xf numFmtId="2" fontId="12" fillId="0" borderId="2" xfId="0" applyNumberFormat="1" applyFont="1" applyBorder="1"/>
    <xf numFmtId="2" fontId="13" fillId="0" borderId="2" xfId="0" applyNumberFormat="1" applyFont="1" applyBorder="1"/>
    <xf numFmtId="2" fontId="13" fillId="0" borderId="2" xfId="0" applyNumberFormat="1" applyFont="1" applyBorder="1" applyAlignment="1">
      <alignment wrapText="1"/>
    </xf>
    <xf numFmtId="2" fontId="12" fillId="0" borderId="2" xfId="0" applyNumberFormat="1" applyFont="1" applyBorder="1" applyAlignment="1">
      <alignment wrapText="1"/>
    </xf>
    <xf numFmtId="2" fontId="12" fillId="0" borderId="4" xfId="0" applyNumberFormat="1" applyFont="1" applyBorder="1" applyAlignment="1">
      <alignment wrapText="1"/>
    </xf>
    <xf numFmtId="2" fontId="13" fillId="2" borderId="2" xfId="0" applyNumberFormat="1" applyFont="1" applyFill="1" applyBorder="1" applyAlignment="1">
      <alignment wrapText="1"/>
    </xf>
    <xf numFmtId="2" fontId="12" fillId="2" borderId="2" xfId="0" applyNumberFormat="1" applyFont="1" applyFill="1" applyBorder="1"/>
    <xf numFmtId="2" fontId="37" fillId="0" borderId="0" xfId="0" applyNumberFormat="1" applyFont="1"/>
    <xf numFmtId="0" fontId="12" fillId="2" borderId="2" xfId="0" applyFont="1" applyFill="1" applyBorder="1" applyAlignment="1">
      <alignment horizontal="justify" vertical="justify"/>
    </xf>
    <xf numFmtId="16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/>
    <xf numFmtId="164" fontId="9" fillId="0" borderId="1" xfId="0" applyNumberFormat="1" applyFont="1" applyBorder="1" applyAlignment="1"/>
    <xf numFmtId="164" fontId="16" fillId="0" borderId="1" xfId="0" applyNumberFormat="1" applyFont="1" applyBorder="1" applyAlignment="1">
      <alignment horizontal="center"/>
    </xf>
    <xf numFmtId="164" fontId="38" fillId="0" borderId="0" xfId="0" applyNumberFormat="1" applyFont="1" applyBorder="1"/>
    <xf numFmtId="167" fontId="9" fillId="0" borderId="1" xfId="0" applyNumberFormat="1" applyFont="1" applyBorder="1"/>
    <xf numFmtId="164" fontId="39" fillId="0" borderId="1" xfId="0" applyNumberFormat="1" applyFont="1" applyBorder="1" applyAlignment="1">
      <alignment horizontal="center"/>
    </xf>
    <xf numFmtId="164" fontId="39" fillId="0" borderId="17" xfId="0" applyNumberFormat="1" applyFont="1" applyBorder="1" applyAlignment="1">
      <alignment horizontal="center"/>
    </xf>
    <xf numFmtId="164" fontId="9" fillId="0" borderId="17" xfId="0" applyNumberFormat="1" applyFont="1" applyBorder="1"/>
    <xf numFmtId="164" fontId="9" fillId="0" borderId="17" xfId="0" applyNumberFormat="1" applyFont="1" applyBorder="1" applyAlignment="1">
      <alignment horizontal="center"/>
    </xf>
    <xf numFmtId="164" fontId="40" fillId="0" borderId="0" xfId="0" applyNumberFormat="1" applyFont="1" applyAlignment="1"/>
    <xf numFmtId="164" fontId="41" fillId="0" borderId="1" xfId="0" applyNumberFormat="1" applyFont="1" applyBorder="1"/>
    <xf numFmtId="0" fontId="5" fillId="0" borderId="0" xfId="0" applyFont="1" applyBorder="1" applyAlignment="1">
      <alignment horizontal="left"/>
    </xf>
    <xf numFmtId="0" fontId="9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6" fillId="0" borderId="3" xfId="4" applyFont="1" applyFill="1" applyBorder="1" applyAlignment="1">
      <alignment horizontal="center" vertical="center" wrapText="1"/>
    </xf>
    <xf numFmtId="0" fontId="6" fillId="0" borderId="19" xfId="4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3" fillId="0" borderId="17" xfId="1" applyNumberFormat="1" applyFont="1" applyFill="1" applyBorder="1" applyAlignment="1" applyProtection="1">
      <alignment horizontal="center" vertical="center" wrapText="1"/>
    </xf>
    <xf numFmtId="0" fontId="3" fillId="0" borderId="14" xfId="1" applyNumberFormat="1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2" xfId="1" applyNumberFormat="1" applyFont="1" applyFill="1" applyBorder="1" applyAlignment="1" applyProtection="1">
      <alignment horizontal="center" vertical="center" wrapText="1"/>
    </xf>
    <xf numFmtId="0" fontId="29" fillId="0" borderId="17" xfId="1" applyNumberFormat="1" applyFont="1" applyFill="1" applyBorder="1" applyAlignment="1" applyProtection="1">
      <alignment horizontal="center" vertical="center" wrapText="1"/>
    </xf>
    <xf numFmtId="0" fontId="29" fillId="0" borderId="14" xfId="1" applyNumberFormat="1" applyFont="1" applyFill="1" applyBorder="1" applyAlignment="1" applyProtection="1">
      <alignment horizontal="center" vertical="center" wrapText="1"/>
    </xf>
    <xf numFmtId="0" fontId="29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/>
    <xf numFmtId="0" fontId="3" fillId="0" borderId="17" xfId="0" applyFont="1" applyFill="1" applyBorder="1" applyAlignment="1"/>
    <xf numFmtId="0" fontId="3" fillId="0" borderId="14" xfId="0" applyFont="1" applyFill="1" applyBorder="1" applyAlignment="1"/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textRotation="90" wrapText="1"/>
    </xf>
    <xf numFmtId="0" fontId="18" fillId="0" borderId="15" xfId="0" applyFont="1" applyFill="1" applyBorder="1" applyAlignment="1">
      <alignment textRotation="90"/>
    </xf>
    <xf numFmtId="0" fontId="18" fillId="0" borderId="19" xfId="0" applyFont="1" applyFill="1" applyBorder="1" applyAlignment="1">
      <alignment textRotation="90"/>
    </xf>
    <xf numFmtId="0" fontId="20" fillId="0" borderId="1" xfId="1" applyFont="1" applyFill="1" applyBorder="1" applyAlignment="1" applyProtection="1">
      <alignment horizontal="center" vertical="center" textRotation="90" wrapText="1"/>
      <protection locked="0"/>
    </xf>
    <xf numFmtId="0" fontId="20" fillId="0" borderId="16" xfId="1" applyFont="1" applyFill="1" applyBorder="1" applyAlignment="1" applyProtection="1">
      <alignment horizontal="center" vertical="center" textRotation="90" wrapText="1"/>
      <protection locked="0"/>
    </xf>
    <xf numFmtId="0" fontId="20" fillId="0" borderId="27" xfId="1" applyFont="1" applyFill="1" applyBorder="1" applyAlignment="1" applyProtection="1">
      <alignment horizontal="center" vertical="center" textRotation="90" wrapText="1"/>
      <protection locked="0"/>
    </xf>
    <xf numFmtId="0" fontId="20" fillId="0" borderId="21" xfId="1" applyFont="1" applyFill="1" applyBorder="1" applyAlignment="1" applyProtection="1">
      <alignment horizontal="center" vertical="center" textRotation="90" wrapText="1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textRotation="90" wrapText="1"/>
    </xf>
    <xf numFmtId="0" fontId="20" fillId="0" borderId="19" xfId="0" applyFont="1" applyFill="1" applyBorder="1" applyAlignment="1">
      <alignment horizontal="center" vertical="center" textRotation="90" wrapText="1"/>
    </xf>
    <xf numFmtId="0" fontId="20" fillId="0" borderId="0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20" fillId="0" borderId="18" xfId="1" applyFont="1" applyFill="1" applyBorder="1" applyAlignment="1" applyProtection="1">
      <alignment horizontal="center" vertical="center" textRotation="90" wrapText="1"/>
      <protection locked="0"/>
    </xf>
    <xf numFmtId="0" fontId="20" fillId="0" borderId="0" xfId="1" applyFont="1" applyFill="1" applyBorder="1" applyAlignment="1" applyProtection="1">
      <alignment horizontal="center" vertical="center" textRotation="90" wrapText="1"/>
      <protection locked="0"/>
    </xf>
    <xf numFmtId="0" fontId="20" fillId="0" borderId="22" xfId="1" applyFont="1" applyFill="1" applyBorder="1" applyAlignment="1" applyProtection="1">
      <alignment horizontal="center" vertical="center" textRotation="90" wrapText="1"/>
      <protection locked="0"/>
    </xf>
    <xf numFmtId="0" fontId="20" fillId="0" borderId="4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left" vertical="center" wrapText="1"/>
    </xf>
    <xf numFmtId="0" fontId="23" fillId="0" borderId="0" xfId="0" applyFont="1" applyFill="1" applyAlignment="1">
      <alignment horizontal="center"/>
    </xf>
    <xf numFmtId="49" fontId="23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center" vertical="top"/>
    </xf>
    <xf numFmtId="0" fontId="2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20" fillId="0" borderId="3" xfId="1" applyFont="1" applyFill="1" applyBorder="1" applyAlignment="1" applyProtection="1">
      <alignment horizontal="center" vertical="center" textRotation="90" wrapText="1"/>
      <protection locked="0"/>
    </xf>
    <xf numFmtId="0" fontId="20" fillId="0" borderId="15" xfId="1" applyFont="1" applyFill="1" applyBorder="1" applyAlignment="1" applyProtection="1">
      <alignment horizontal="center" vertical="center" textRotation="90" wrapText="1"/>
      <protection locked="0"/>
    </xf>
    <xf numFmtId="0" fontId="20" fillId="0" borderId="19" xfId="1" applyFont="1" applyFill="1" applyBorder="1" applyAlignment="1" applyProtection="1">
      <alignment horizontal="center" vertical="center" textRotation="90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top" wrapText="1"/>
    </xf>
  </cellXfs>
  <cellStyles count="6">
    <cellStyle name="Iau?iue" xfId="1"/>
    <cellStyle name="Денежный" xfId="2" builtinId="4"/>
    <cellStyle name="Обычный" xfId="0" builtinId="0"/>
    <cellStyle name="Обычный 2" xfId="3"/>
    <cellStyle name="Обычный 5 2" xfId="4"/>
    <cellStyle name="Финансовый" xfId="5" builtin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zoomScale="150" zoomScaleNormal="150" workbookViewId="0">
      <pane xSplit="2" ySplit="5" topLeftCell="I30" activePane="bottomRight" state="frozen"/>
      <selection pane="topRight" activeCell="C1" sqref="C1"/>
      <selection pane="bottomLeft" activeCell="A6" sqref="A6"/>
      <selection pane="bottomRight" activeCell="I12" sqref="I12"/>
    </sheetView>
  </sheetViews>
  <sheetFormatPr defaultRowHeight="14.4"/>
  <cols>
    <col min="1" max="1" width="6.33203125" style="4" customWidth="1"/>
    <col min="2" max="2" width="24.88671875" customWidth="1"/>
    <col min="3" max="3" width="6.5546875" customWidth="1"/>
    <col min="4" max="4" width="6.44140625" customWidth="1"/>
    <col min="5" max="5" width="6.5546875" customWidth="1"/>
    <col min="6" max="6" width="5.44140625" customWidth="1"/>
    <col min="7" max="7" width="7" customWidth="1"/>
    <col min="8" max="8" width="7.44140625" customWidth="1"/>
    <col min="9" max="12" width="6.5546875" customWidth="1"/>
    <col min="13" max="13" width="7" customWidth="1"/>
    <col min="14" max="14" width="7.5546875" customWidth="1"/>
    <col min="15" max="18" width="6.5546875" customWidth="1"/>
    <col min="19" max="20" width="7.109375" customWidth="1"/>
    <col min="21" max="24" width="6.5546875" customWidth="1"/>
    <col min="25" max="25" width="7.33203125" customWidth="1"/>
    <col min="26" max="26" width="7.5546875" customWidth="1"/>
  </cols>
  <sheetData>
    <row r="1" spans="1:26">
      <c r="A1" s="2"/>
      <c r="B1" s="204" t="s">
        <v>76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26" ht="15.6">
      <c r="A2" s="3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"/>
    </row>
    <row r="3" spans="1:26" ht="15.6">
      <c r="A3" s="3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"/>
    </row>
    <row r="4" spans="1:26" ht="15" customHeight="1" thickBot="1">
      <c r="A4" s="3"/>
      <c r="U4" s="205"/>
      <c r="V4" s="205"/>
      <c r="W4" s="205"/>
    </row>
    <row r="5" spans="1:26" s="1" customFormat="1" ht="37.5" customHeight="1">
      <c r="A5" s="201" t="s">
        <v>0</v>
      </c>
      <c r="B5" s="37" t="s">
        <v>1</v>
      </c>
      <c r="C5" s="199" t="s">
        <v>2</v>
      </c>
      <c r="D5" s="200"/>
      <c r="E5" s="203" t="s">
        <v>77</v>
      </c>
      <c r="F5" s="200"/>
      <c r="G5" s="38" t="s">
        <v>66</v>
      </c>
      <c r="H5" s="39" t="s">
        <v>70</v>
      </c>
      <c r="I5" s="199" t="s">
        <v>3</v>
      </c>
      <c r="J5" s="200"/>
      <c r="K5" s="203" t="s">
        <v>78</v>
      </c>
      <c r="L5" s="200"/>
      <c r="M5" s="38" t="s">
        <v>67</v>
      </c>
      <c r="N5" s="39" t="s">
        <v>71</v>
      </c>
      <c r="O5" s="199" t="s">
        <v>4</v>
      </c>
      <c r="P5" s="200"/>
      <c r="Q5" s="203" t="s">
        <v>79</v>
      </c>
      <c r="R5" s="200"/>
      <c r="S5" s="38" t="s">
        <v>68</v>
      </c>
      <c r="T5" s="39" t="s">
        <v>72</v>
      </c>
      <c r="U5" s="199" t="s">
        <v>5</v>
      </c>
      <c r="V5" s="200"/>
      <c r="W5" s="203" t="s">
        <v>80</v>
      </c>
      <c r="X5" s="200"/>
      <c r="Y5" s="38" t="s">
        <v>69</v>
      </c>
      <c r="Z5" s="40" t="s">
        <v>73</v>
      </c>
    </row>
    <row r="6" spans="1:26" ht="17.25" customHeight="1">
      <c r="A6" s="202"/>
      <c r="B6" s="9"/>
      <c r="C6" s="41" t="s">
        <v>6</v>
      </c>
      <c r="D6" s="42" t="s">
        <v>7</v>
      </c>
      <c r="E6" s="42" t="s">
        <v>6</v>
      </c>
      <c r="F6" s="42" t="s">
        <v>7</v>
      </c>
      <c r="G6" s="42" t="s">
        <v>6</v>
      </c>
      <c r="H6" s="43" t="s">
        <v>65</v>
      </c>
      <c r="I6" s="41" t="s">
        <v>6</v>
      </c>
      <c r="J6" s="42" t="s">
        <v>7</v>
      </c>
      <c r="K6" s="42" t="s">
        <v>6</v>
      </c>
      <c r="L6" s="42" t="s">
        <v>7</v>
      </c>
      <c r="M6" s="42" t="s">
        <v>6</v>
      </c>
      <c r="N6" s="43" t="s">
        <v>65</v>
      </c>
      <c r="O6" s="41" t="s">
        <v>6</v>
      </c>
      <c r="P6" s="42" t="s">
        <v>7</v>
      </c>
      <c r="Q6" s="42" t="s">
        <v>6</v>
      </c>
      <c r="R6" s="42" t="s">
        <v>7</v>
      </c>
      <c r="S6" s="42" t="s">
        <v>6</v>
      </c>
      <c r="T6" s="43" t="s">
        <v>65</v>
      </c>
      <c r="U6" s="41" t="s">
        <v>6</v>
      </c>
      <c r="V6" s="42" t="s">
        <v>7</v>
      </c>
      <c r="W6" s="42" t="s">
        <v>6</v>
      </c>
      <c r="X6" s="12" t="s">
        <v>7</v>
      </c>
      <c r="Y6" s="42" t="s">
        <v>6</v>
      </c>
      <c r="Z6" s="44" t="s">
        <v>65</v>
      </c>
    </row>
    <row r="7" spans="1:26" ht="10.5" customHeight="1">
      <c r="A7" s="45">
        <v>1</v>
      </c>
      <c r="B7" s="46">
        <v>2</v>
      </c>
      <c r="C7" s="47">
        <v>3</v>
      </c>
      <c r="D7" s="48">
        <v>4</v>
      </c>
      <c r="E7" s="48">
        <v>5</v>
      </c>
      <c r="F7" s="48">
        <v>6</v>
      </c>
      <c r="G7" s="48">
        <v>7</v>
      </c>
      <c r="H7" s="44">
        <v>8</v>
      </c>
      <c r="I7" s="47">
        <v>9</v>
      </c>
      <c r="J7" s="48">
        <v>10</v>
      </c>
      <c r="K7" s="48">
        <v>11</v>
      </c>
      <c r="L7" s="48">
        <v>12</v>
      </c>
      <c r="M7" s="48">
        <v>13</v>
      </c>
      <c r="N7" s="44">
        <v>14</v>
      </c>
      <c r="O7" s="47">
        <v>15</v>
      </c>
      <c r="P7" s="48">
        <v>16</v>
      </c>
      <c r="Q7" s="48">
        <v>17</v>
      </c>
      <c r="R7" s="48">
        <v>18</v>
      </c>
      <c r="S7" s="48">
        <v>19</v>
      </c>
      <c r="T7" s="44">
        <v>20</v>
      </c>
      <c r="U7" s="47">
        <v>21</v>
      </c>
      <c r="V7" s="48">
        <v>22</v>
      </c>
      <c r="W7" s="48">
        <v>23</v>
      </c>
      <c r="X7" s="48">
        <v>24</v>
      </c>
      <c r="Y7" s="48">
        <v>25</v>
      </c>
      <c r="Z7" s="49">
        <v>26</v>
      </c>
    </row>
    <row r="8" spans="1:26" ht="10.5" customHeight="1">
      <c r="A8" s="7">
        <v>1</v>
      </c>
      <c r="B8" s="14" t="s">
        <v>8</v>
      </c>
      <c r="C8" s="23">
        <f>C9+C21</f>
        <v>36488.11</v>
      </c>
      <c r="D8" s="24">
        <f ca="1">C8/а</f>
        <v>144.95651337572184</v>
      </c>
      <c r="E8" s="23">
        <f ca="1">E9+E21</f>
        <v>35696.1</v>
      </c>
      <c r="F8" s="24">
        <f ca="1">E8/а</f>
        <v>141.81009093403588</v>
      </c>
      <c r="G8" s="12">
        <f ca="1">E8-C8</f>
        <v>-792.01000000000204</v>
      </c>
      <c r="H8" s="25">
        <f ca="1">G8/C8*100</f>
        <v>-2.1705974905250014</v>
      </c>
      <c r="I8" s="26">
        <f ca="1">C8/а*а1</f>
        <v>29230.367856133878</v>
      </c>
      <c r="J8" s="24">
        <f ca="1">I8/а1</f>
        <v>144.95651337572184</v>
      </c>
      <c r="K8" s="26">
        <f ca="1">K9+K21</f>
        <v>20221.88271260745</v>
      </c>
      <c r="L8" s="24">
        <f ca="1">K8/а1</f>
        <v>100.28247425210695</v>
      </c>
      <c r="M8" s="24">
        <f>K8-I8</f>
        <v>-9008.4851435264281</v>
      </c>
      <c r="N8" s="25">
        <f>M8/I8*100</f>
        <v>-30.818924988780232</v>
      </c>
      <c r="O8" s="26">
        <f ca="1">C8/а*а2</f>
        <v>4120.3917918351608</v>
      </c>
      <c r="P8" s="24">
        <f ca="1">O8/а2</f>
        <v>144.95651337572184</v>
      </c>
      <c r="Q8" s="26">
        <f ca="1">Q9+Q21</f>
        <v>2745.6596105942358</v>
      </c>
      <c r="R8" s="24">
        <f ca="1">Q8/а2</f>
        <v>96.593058178823995</v>
      </c>
      <c r="S8" s="24">
        <f>Q8-O8</f>
        <v>-1374.732181240925</v>
      </c>
      <c r="T8" s="25">
        <f>S8/O8*100</f>
        <v>-33.364113188582003</v>
      </c>
      <c r="U8" s="26">
        <f ca="1">C8/а*а3</f>
        <v>3137.3503520309641</v>
      </c>
      <c r="V8" s="24">
        <f ca="1">U8/а3</f>
        <v>144.95651337572184</v>
      </c>
      <c r="W8" s="26">
        <f ca="1">W9+W21</f>
        <v>2092.3369695672209</v>
      </c>
      <c r="X8" s="24">
        <f ca="1">W8/а3</f>
        <v>96.673255417345473</v>
      </c>
      <c r="Y8" s="24">
        <f>W8-U8</f>
        <v>-1045.0133824637433</v>
      </c>
      <c r="Z8" s="25">
        <f>Y8/U8*100</f>
        <v>-33.30878815581606</v>
      </c>
    </row>
    <row r="9" spans="1:26" ht="10.5" customHeight="1">
      <c r="A9" s="7" t="s">
        <v>37</v>
      </c>
      <c r="B9" s="15" t="s">
        <v>9</v>
      </c>
      <c r="C9" s="27">
        <f>C11+C12+C15+C16+C17</f>
        <v>34755.24</v>
      </c>
      <c r="D9" s="24">
        <f ca="1">C9/а</f>
        <v>138.07233128644981</v>
      </c>
      <c r="E9" s="27">
        <f ca="1">E11+E12+E15+E16+E17</f>
        <v>32191.979999999996</v>
      </c>
      <c r="F9" s="24">
        <f ca="1">E9/а</f>
        <v>127.88925432040654</v>
      </c>
      <c r="G9" s="12">
        <f ca="1">E9-C9</f>
        <v>-2563.260000000002</v>
      </c>
      <c r="H9" s="25">
        <f ca="1">G9/C9*100</f>
        <v>-7.3751756569656894</v>
      </c>
      <c r="I9" s="26">
        <f ca="1">C9/а*а1</f>
        <v>27842.177907494202</v>
      </c>
      <c r="J9" s="24">
        <f ca="1">I9/а1</f>
        <v>138.07233128644981</v>
      </c>
      <c r="K9" s="26">
        <f ca="1">K11+K12+K16+K17</f>
        <v>19050.012796698749</v>
      </c>
      <c r="L9" s="24">
        <f ca="1">K9/а1</f>
        <v>94.471046288692548</v>
      </c>
      <c r="M9" s="24">
        <f>K9-I9</f>
        <v>-8792.1651107954531</v>
      </c>
      <c r="N9" s="25">
        <f>M9/I9*100</f>
        <v>-31.578582465809507</v>
      </c>
      <c r="O9" s="26">
        <f ca="1">C9/а*а2</f>
        <v>3924.7087782639614</v>
      </c>
      <c r="P9" s="24">
        <f ca="1">O9/а2</f>
        <v>138.07233128644981</v>
      </c>
      <c r="Q9" s="26">
        <f ca="1">Q11+Q12+Q16+Q17</f>
        <v>2580.4709629196177</v>
      </c>
      <c r="R9" s="24">
        <f ca="1">Q9/а2</f>
        <v>90.781676245772829</v>
      </c>
      <c r="S9" s="24">
        <f>Q9-O9</f>
        <v>-1344.2378153443437</v>
      </c>
      <c r="T9" s="25">
        <f>S9/O9*100</f>
        <v>-34.250638487856108</v>
      </c>
      <c r="U9" s="26">
        <f ca="1">C9/а*а3</f>
        <v>2988.3533142418351</v>
      </c>
      <c r="V9" s="24">
        <f ca="1">U9/а3</f>
        <v>138.07233128644981</v>
      </c>
      <c r="W9" s="26">
        <f ca="1">W11+W12+W16+W17</f>
        <v>1966.3955331505399</v>
      </c>
      <c r="X9" s="24">
        <f ca="1">W9/а3</f>
        <v>90.854322412087015</v>
      </c>
      <c r="Y9" s="24">
        <f>W9-U9</f>
        <v>-1021.9577810912951</v>
      </c>
      <c r="Z9" s="25">
        <f>Y9/U9*100</f>
        <v>-34.198023915742127</v>
      </c>
    </row>
    <row r="10" spans="1:26" ht="10.5" customHeight="1">
      <c r="A10" s="8" t="s">
        <v>38</v>
      </c>
      <c r="B10" s="16" t="s">
        <v>10</v>
      </c>
      <c r="C10" s="23"/>
      <c r="D10" s="12"/>
      <c r="E10" s="12"/>
      <c r="F10" s="24"/>
      <c r="G10" s="12"/>
      <c r="H10" s="28"/>
      <c r="I10" s="26"/>
      <c r="J10" s="12"/>
      <c r="K10" s="24"/>
      <c r="L10" s="24"/>
      <c r="M10" s="12"/>
      <c r="N10" s="28"/>
      <c r="O10" s="23"/>
      <c r="P10" s="12"/>
      <c r="Q10" s="24"/>
      <c r="R10" s="24"/>
      <c r="S10" s="12"/>
      <c r="T10" s="28"/>
      <c r="U10" s="23"/>
      <c r="V10" s="12"/>
      <c r="W10" s="24"/>
      <c r="X10" s="24"/>
      <c r="Y10" s="12"/>
      <c r="Z10" s="28"/>
    </row>
    <row r="11" spans="1:26" ht="10.5" customHeight="1">
      <c r="A11" s="8" t="s">
        <v>39</v>
      </c>
      <c r="B11" s="16" t="s">
        <v>11</v>
      </c>
      <c r="C11" s="23">
        <f>720.73+548.78+4840.73</f>
        <v>6110.24</v>
      </c>
      <c r="D11" s="24">
        <f ca="1">C11/а</f>
        <v>24.274183735163881</v>
      </c>
      <c r="E11" s="12">
        <v>4681.59</v>
      </c>
      <c r="F11" s="24">
        <f ca="1">E11/а</f>
        <v>18.598578097211547</v>
      </c>
      <c r="G11" s="12">
        <f ca="1">E11-C11</f>
        <v>-1428.6499999999996</v>
      </c>
      <c r="H11" s="25">
        <f ca="1">G11/C11*100</f>
        <v>-23.381241980675057</v>
      </c>
      <c r="I11" s="26">
        <f ca="1">C11/а*а1</f>
        <v>4894.8702163324833</v>
      </c>
      <c r="J11" s="24">
        <f ca="1">I11/а1</f>
        <v>24.274183735163881</v>
      </c>
      <c r="K11" s="24">
        <f ca="1">E11</f>
        <v>4681.59</v>
      </c>
      <c r="L11" s="24">
        <f ca="1">K11/а1</f>
        <v>23.216504383205645</v>
      </c>
      <c r="M11" s="24">
        <f>K11-I11</f>
        <v>-213.28021633248318</v>
      </c>
      <c r="N11" s="25">
        <f>M11/I11*100</f>
        <v>-4.357219025355179</v>
      </c>
      <c r="O11" s="26">
        <f ca="1">C11/а*а2</f>
        <v>689.99415815570796</v>
      </c>
      <c r="P11" s="24">
        <f ca="1">O11/а2</f>
        <v>24.274183735163881</v>
      </c>
      <c r="Q11" s="24">
        <f ca="1">O11</f>
        <v>689.99415815570796</v>
      </c>
      <c r="R11" s="24">
        <f ca="1">Q11/а2</f>
        <v>24.274183735163881</v>
      </c>
      <c r="S11" s="24">
        <f>Q11-O11</f>
        <v>0</v>
      </c>
      <c r="T11" s="25">
        <f>S11/O11*100</f>
        <v>0</v>
      </c>
      <c r="U11" s="26">
        <f ca="1">C11/а*а3</f>
        <v>525.37562551180861</v>
      </c>
      <c r="V11" s="24">
        <f ca="1">U11/а3</f>
        <v>24.274183735163881</v>
      </c>
      <c r="W11" s="24">
        <f ca="1">U11</f>
        <v>525.37562551180861</v>
      </c>
      <c r="X11" s="24">
        <f ca="1">W11/а3</f>
        <v>24.274183735163881</v>
      </c>
      <c r="Y11" s="24">
        <f>W11-U11</f>
        <v>0</v>
      </c>
      <c r="Z11" s="25">
        <f>Y11/U11*100</f>
        <v>0</v>
      </c>
    </row>
    <row r="12" spans="1:26" ht="30.75" customHeight="1">
      <c r="A12" s="8" t="s">
        <v>40</v>
      </c>
      <c r="B12" s="17" t="s">
        <v>12</v>
      </c>
      <c r="C12" s="23">
        <f>15619.77+2289.34+1743.15</f>
        <v>19652.260000000002</v>
      </c>
      <c r="D12" s="24">
        <f ca="1">C12/а</f>
        <v>78.072640362933655</v>
      </c>
      <c r="E12" s="12">
        <v>19219.8</v>
      </c>
      <c r="F12" s="24">
        <f ca="1">E12/а</f>
        <v>76.354604164992324</v>
      </c>
      <c r="G12" s="12">
        <f ca="1">E12-C12</f>
        <v>-432.46000000000276</v>
      </c>
      <c r="H12" s="25">
        <f ca="1">G12/C12*100</f>
        <v>-2.2005611568338841</v>
      </c>
      <c r="I12" s="26">
        <f ca="1">C12/а*а1</f>
        <v>15743.28703252609</v>
      </c>
      <c r="J12" s="24">
        <f ca="1">I12/а1</f>
        <v>78.072640362933655</v>
      </c>
      <c r="K12" s="24">
        <v>8738.9615738646098</v>
      </c>
      <c r="L12" s="24">
        <f ca="1">K12/а1</f>
        <v>43.337442980759405</v>
      </c>
      <c r="M12" s="24">
        <f>K12-I12</f>
        <v>-7004.3254586614803</v>
      </c>
      <c r="N12" s="25">
        <f>M12/I12*100</f>
        <v>-44.490870579888046</v>
      </c>
      <c r="O12" s="26">
        <f ca="1">C12/а*а2</f>
        <v>2219.2163637691965</v>
      </c>
      <c r="P12" s="24">
        <f ca="1">O12/а2</f>
        <v>78.072640362933655</v>
      </c>
      <c r="Q12" s="24">
        <v>1231.857926268</v>
      </c>
      <c r="R12" s="24">
        <f ca="1">Q12/а2</f>
        <v>43.337099719472491</v>
      </c>
      <c r="S12" s="24">
        <f>Q12-O12</f>
        <v>-987.35843750119648</v>
      </c>
      <c r="T12" s="25">
        <f>S12/O12*100</f>
        <v>-44.491310249003014</v>
      </c>
      <c r="U12" s="26">
        <f ca="1">C12/а*а3</f>
        <v>1689.7566037047147</v>
      </c>
      <c r="V12" s="24">
        <f ca="1">U12/а3</f>
        <v>78.072640362933655</v>
      </c>
      <c r="W12" s="24">
        <v>939.18049986738845</v>
      </c>
      <c r="X12" s="24">
        <f ca="1">W12/а3</f>
        <v>43.393410175919229</v>
      </c>
      <c r="Y12" s="24">
        <f>W12-U12</f>
        <v>-750.57610383732629</v>
      </c>
      <c r="Z12" s="25">
        <f>Y12/U12*100</f>
        <v>-44.419184525849595</v>
      </c>
    </row>
    <row r="13" spans="1:26" ht="26.25" customHeight="1">
      <c r="A13" s="8" t="s">
        <v>41</v>
      </c>
      <c r="B13" s="17" t="s">
        <v>13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</row>
    <row r="14" spans="1:26" ht="19.5" customHeight="1">
      <c r="A14" s="8" t="s">
        <v>42</v>
      </c>
      <c r="B14" s="17" t="s">
        <v>14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</row>
    <row r="15" spans="1:26" ht="10.5" customHeight="1">
      <c r="A15" s="8" t="s">
        <v>43</v>
      </c>
      <c r="B15" s="17" t="s">
        <v>15</v>
      </c>
      <c r="C15" s="27">
        <f>0.16+0.21+1.47</f>
        <v>1.8399999999999999</v>
      </c>
      <c r="D15" s="24">
        <f ca="1">C15/а</f>
        <v>7.3097780238912937E-3</v>
      </c>
      <c r="E15" s="29">
        <f ca="1">42.73+1044.69</f>
        <v>1087.42</v>
      </c>
      <c r="F15" s="24">
        <f ca="1">E15/а</f>
        <v>4.3199993580107998</v>
      </c>
      <c r="G15" s="12">
        <f ca="1">E15-C15</f>
        <v>1085.5800000000002</v>
      </c>
      <c r="H15" s="25">
        <f ca="1">G15/C15*100</f>
        <v>58998.913043478271</v>
      </c>
      <c r="I15" s="26">
        <f ca="1">C15/а*а1</f>
        <v>1.4740110368908208</v>
      </c>
      <c r="J15" s="24">
        <f ca="1">I15/а1</f>
        <v>7.3097780238912937E-3</v>
      </c>
      <c r="K15" s="24">
        <f ca="1">I15</f>
        <v>1.4740110368908208</v>
      </c>
      <c r="L15" s="24">
        <f ca="1">K15/а1</f>
        <v>7.3097780238912937E-3</v>
      </c>
      <c r="M15" s="24">
        <f>K15-I15</f>
        <v>0</v>
      </c>
      <c r="N15" s="25">
        <f>M15/I15*100</f>
        <v>0</v>
      </c>
      <c r="O15" s="26">
        <f ca="1">C15/а*а2</f>
        <v>0.20778058652467049</v>
      </c>
      <c r="P15" s="24">
        <f ca="1">O15/а2</f>
        <v>7.3097780238912937E-3</v>
      </c>
      <c r="Q15" s="24">
        <f ca="1">O15</f>
        <v>0.20778058652467049</v>
      </c>
      <c r="R15" s="24">
        <f ca="1">Q15/а2</f>
        <v>7.3097780238912937E-3</v>
      </c>
      <c r="S15" s="24">
        <f>Q15-O15</f>
        <v>0</v>
      </c>
      <c r="T15" s="25">
        <f>S15/O15*100</f>
        <v>0</v>
      </c>
      <c r="U15" s="26">
        <f ca="1">C15/а*а3</f>
        <v>0.15820837658450859</v>
      </c>
      <c r="V15" s="24">
        <f ca="1">U15/а3</f>
        <v>7.3097780238912937E-3</v>
      </c>
      <c r="W15" s="24">
        <f ca="1">U15</f>
        <v>0.15820837658450859</v>
      </c>
      <c r="X15" s="24">
        <f ca="1">W15/а3</f>
        <v>7.3097780238912937E-3</v>
      </c>
      <c r="Y15" s="24">
        <f t="shared" ref="Y15:Y33" si="0">W15-U15</f>
        <v>0</v>
      </c>
      <c r="Z15" s="25">
        <f t="shared" ref="Z15:Z33" si="1">Y15/U15*100</f>
        <v>0</v>
      </c>
    </row>
    <row r="16" spans="1:26" ht="21.75" customHeight="1">
      <c r="A16" s="7" t="s">
        <v>44</v>
      </c>
      <c r="B16" s="185" t="s">
        <v>234</v>
      </c>
      <c r="C16" s="23">
        <f>5065.41+714.04+543.68</f>
        <v>6323.13</v>
      </c>
      <c r="D16" s="24">
        <f t="shared" ref="D16:F28" ca="1" si="2">C16/а</f>
        <v>25.119932997938999</v>
      </c>
      <c r="E16" s="12">
        <f>5507.66</f>
        <v>5507.66</v>
      </c>
      <c r="F16" s="24">
        <f t="shared" ca="1" si="2"/>
        <v>21.880310886448438</v>
      </c>
      <c r="G16" s="12">
        <f t="shared" ref="G16:G28" si="3">E16-C16</f>
        <v>-815.47000000000025</v>
      </c>
      <c r="H16" s="25">
        <f t="shared" ref="H16:H28" si="4">G16/C16*100</f>
        <v>-12.896619237624407</v>
      </c>
      <c r="I16" s="26">
        <f t="shared" ref="I16:I26" ca="1" si="5">C16/а*а1</f>
        <v>5065.4148954866614</v>
      </c>
      <c r="J16" s="24">
        <f t="shared" ref="J16:L28" ca="1" si="6">I16/а1</f>
        <v>25.119932997938999</v>
      </c>
      <c r="K16" s="24">
        <v>2535.1799616206681</v>
      </c>
      <c r="L16" s="24">
        <f t="shared" ca="1" si="6"/>
        <v>12.572227959129561</v>
      </c>
      <c r="M16" s="24">
        <f t="shared" ref="M16:M28" si="7">K16-I16</f>
        <v>-2530.2349338659933</v>
      </c>
      <c r="N16" s="25">
        <f t="shared" ref="N16:N28" si="8">M16/I16*100</f>
        <v>-49.951188324582446</v>
      </c>
      <c r="O16" s="26">
        <f t="shared" ref="O16:O28" ca="1" si="9">C16/а*а2</f>
        <v>714.03459786507597</v>
      </c>
      <c r="P16" s="24">
        <f ca="1">O16/а2</f>
        <v>25.119932997938999</v>
      </c>
      <c r="Q16" s="24">
        <v>357.36300060845281</v>
      </c>
      <c r="R16" s="24">
        <f t="shared" ref="P16:R28" ca="1" si="10">Q16/а2</f>
        <v>12.572128378747061</v>
      </c>
      <c r="S16" s="24">
        <f t="shared" ref="S16:S28" si="11">Q16-O16</f>
        <v>-356.67159725662316</v>
      </c>
      <c r="T16" s="25">
        <f t="shared" ref="T16:T28" si="12">S16/O16*100</f>
        <v>-49.951584744359948</v>
      </c>
      <c r="U16" s="26">
        <f t="shared" ref="U16:U28" ca="1" si="13">C16/а*а3</f>
        <v>543.68050664826296</v>
      </c>
      <c r="V16" s="24">
        <f t="shared" ref="V16:V28" ca="1" si="14">U16/а3</f>
        <v>25.119932997938999</v>
      </c>
      <c r="W16" s="24">
        <v>272.45703777087851</v>
      </c>
      <c r="X16" s="24">
        <f t="shared" ref="X16:X28" ca="1" si="15">W16/а3</f>
        <v>12.588464088614515</v>
      </c>
      <c r="Y16" s="24">
        <f t="shared" si="0"/>
        <v>-271.22346887738445</v>
      </c>
      <c r="Z16" s="25">
        <f t="shared" si="1"/>
        <v>-49.886553878756942</v>
      </c>
    </row>
    <row r="17" spans="1:26" ht="10.5" customHeight="1">
      <c r="A17" s="7" t="s">
        <v>45</v>
      </c>
      <c r="B17" s="15" t="s">
        <v>17</v>
      </c>
      <c r="C17" s="27">
        <f>C18+C19+C20</f>
        <v>2667.7699999999995</v>
      </c>
      <c r="D17" s="24">
        <f t="shared" ca="1" si="2"/>
        <v>10.598264412389389</v>
      </c>
      <c r="E17" s="27">
        <f>E18+E19+E20</f>
        <v>1695.51</v>
      </c>
      <c r="F17" s="24">
        <f t="shared" ca="1" si="2"/>
        <v>6.735761813743439</v>
      </c>
      <c r="G17" s="36">
        <f t="shared" si="3"/>
        <v>-972.25999999999954</v>
      </c>
      <c r="H17" s="25">
        <f t="shared" si="4"/>
        <v>-36.444671017366552</v>
      </c>
      <c r="I17" s="26">
        <f t="shared" ca="1" si="5"/>
        <v>2137.1317521120786</v>
      </c>
      <c r="J17" s="24">
        <f t="shared" ca="1" si="6"/>
        <v>10.598264412389389</v>
      </c>
      <c r="K17" s="26">
        <v>3094.281261213473</v>
      </c>
      <c r="L17" s="24">
        <f t="shared" ca="1" si="6"/>
        <v>15.344870965597947</v>
      </c>
      <c r="M17" s="24">
        <f t="shared" si="7"/>
        <v>957.14950910139441</v>
      </c>
      <c r="N17" s="25">
        <f t="shared" si="8"/>
        <v>44.786640231958806</v>
      </c>
      <c r="O17" s="26">
        <f t="shared" ca="1" si="9"/>
        <v>301.25587788745662</v>
      </c>
      <c r="P17" s="24">
        <f t="shared" ca="1" si="10"/>
        <v>10.598264412389389</v>
      </c>
      <c r="Q17" s="24">
        <f>O17</f>
        <v>301.25587788745662</v>
      </c>
      <c r="R17" s="24">
        <f t="shared" ca="1" si="10"/>
        <v>10.598264412389389</v>
      </c>
      <c r="S17" s="24">
        <f t="shared" si="11"/>
        <v>0</v>
      </c>
      <c r="T17" s="25">
        <f t="shared" si="12"/>
        <v>0</v>
      </c>
      <c r="U17" s="26">
        <f t="shared" ca="1" si="13"/>
        <v>229.38237000046436</v>
      </c>
      <c r="V17" s="24">
        <f t="shared" ca="1" si="14"/>
        <v>10.598264412389389</v>
      </c>
      <c r="W17" s="24">
        <f>U17</f>
        <v>229.38237000046436</v>
      </c>
      <c r="X17" s="24">
        <f>V17</f>
        <v>10.598264412389389</v>
      </c>
      <c r="Y17" s="24">
        <f t="shared" si="0"/>
        <v>0</v>
      </c>
      <c r="Z17" s="25">
        <f t="shared" si="1"/>
        <v>0</v>
      </c>
    </row>
    <row r="18" spans="1:26" ht="10.5" customHeight="1">
      <c r="A18" s="8" t="s">
        <v>46</v>
      </c>
      <c r="B18" s="16" t="s">
        <v>18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</row>
    <row r="19" spans="1:26" ht="10.5" customHeight="1">
      <c r="A19" s="8" t="s">
        <v>47</v>
      </c>
      <c r="B19" s="16" t="s">
        <v>19</v>
      </c>
      <c r="C19" s="23">
        <f>1191.04+167.9+127.84</f>
        <v>1486.78</v>
      </c>
      <c r="D19" s="24">
        <f t="shared" ca="1" si="2"/>
        <v>5.9065390056310312</v>
      </c>
      <c r="E19" s="24">
        <f>1619.95</f>
        <v>1619.95</v>
      </c>
      <c r="F19" s="24">
        <f t="shared" ca="1" si="2"/>
        <v>6.4355841901101645</v>
      </c>
      <c r="G19" s="36">
        <f t="shared" si="3"/>
        <v>133.17000000000007</v>
      </c>
      <c r="H19" s="25">
        <f t="shared" si="4"/>
        <v>8.956940502293552</v>
      </c>
      <c r="I19" s="26">
        <f t="shared" ca="1" si="5"/>
        <v>1191.0489833850731</v>
      </c>
      <c r="J19" s="24">
        <f t="shared" ca="1" si="6"/>
        <v>5.9065390056310312</v>
      </c>
      <c r="K19" s="24">
        <f>I19+250.208</f>
        <v>1441.2569833850732</v>
      </c>
      <c r="L19" s="24">
        <f t="shared" ca="1" si="6"/>
        <v>7.147347177366087</v>
      </c>
      <c r="M19" s="24">
        <f t="shared" si="7"/>
        <v>250.20800000000008</v>
      </c>
      <c r="N19" s="25">
        <f t="shared" si="8"/>
        <v>21.007364389740328</v>
      </c>
      <c r="O19" s="26">
        <f t="shared" ca="1" si="9"/>
        <v>167.89348936584219</v>
      </c>
      <c r="P19" s="24">
        <f t="shared" ca="1" si="10"/>
        <v>5.9065390056310312</v>
      </c>
      <c r="Q19" s="24">
        <v>168.68888559526968</v>
      </c>
      <c r="R19" s="24">
        <f t="shared" ca="1" si="10"/>
        <v>5.9345212631431634</v>
      </c>
      <c r="S19" s="24">
        <f t="shared" si="11"/>
        <v>0.79539622942749588</v>
      </c>
      <c r="T19" s="25">
        <f t="shared" si="12"/>
        <v>0.47375049052337986</v>
      </c>
      <c r="U19" s="26">
        <f t="shared" ca="1" si="13"/>
        <v>127.8375272490846</v>
      </c>
      <c r="V19" s="24">
        <f t="shared" ca="1" si="14"/>
        <v>5.9065390056310312</v>
      </c>
      <c r="W19" s="24">
        <v>128.61005195250948</v>
      </c>
      <c r="X19" s="24">
        <f t="shared" ca="1" si="15"/>
        <v>5.9422323375640085</v>
      </c>
      <c r="Y19" s="24">
        <f t="shared" si="0"/>
        <v>0.77252470342487811</v>
      </c>
      <c r="Z19" s="25">
        <f t="shared" si="1"/>
        <v>0.6043019761479389</v>
      </c>
    </row>
    <row r="20" spans="1:26" ht="10.5" customHeight="1">
      <c r="A20" s="8" t="s">
        <v>48</v>
      </c>
      <c r="B20" s="16" t="s">
        <v>20</v>
      </c>
      <c r="C20" s="27">
        <f>946.06+133.39+101.54</f>
        <v>1180.9899999999998</v>
      </c>
      <c r="D20" s="24">
        <f t="shared" ca="1" si="2"/>
        <v>4.6917254067583576</v>
      </c>
      <c r="E20" s="29">
        <f>75.56</f>
        <v>75.56</v>
      </c>
      <c r="F20" s="24">
        <f t="shared" ca="1" si="2"/>
        <v>0.3001776236332751</v>
      </c>
      <c r="G20" s="12">
        <f t="shared" si="3"/>
        <v>-1105.4299999999998</v>
      </c>
      <c r="H20" s="25">
        <f t="shared" si="4"/>
        <v>-93.60197800150722</v>
      </c>
      <c r="I20" s="26">
        <f t="shared" ca="1" si="5"/>
        <v>946.0827687270056</v>
      </c>
      <c r="J20" s="24">
        <f t="shared" ca="1" si="6"/>
        <v>4.6917254067583576</v>
      </c>
      <c r="K20" s="24">
        <f>I20</f>
        <v>946.0827687270056</v>
      </c>
      <c r="L20" s="24">
        <f t="shared" ca="1" si="6"/>
        <v>4.6917254067583576</v>
      </c>
      <c r="M20" s="24">
        <f t="shared" si="7"/>
        <v>0</v>
      </c>
      <c r="N20" s="25">
        <f t="shared" si="8"/>
        <v>0</v>
      </c>
      <c r="O20" s="26">
        <f t="shared" ca="1" si="9"/>
        <v>133.36238852161446</v>
      </c>
      <c r="P20" s="24">
        <f t="shared" ca="1" si="10"/>
        <v>4.6917254067583585</v>
      </c>
      <c r="Q20" s="24">
        <f>O20</f>
        <v>133.36238852161446</v>
      </c>
      <c r="R20" s="24">
        <f t="shared" ca="1" si="10"/>
        <v>4.6917254067583585</v>
      </c>
      <c r="S20" s="24">
        <f t="shared" si="11"/>
        <v>0</v>
      </c>
      <c r="T20" s="25">
        <f t="shared" si="12"/>
        <v>0</v>
      </c>
      <c r="U20" s="26">
        <f t="shared" ca="1" si="13"/>
        <v>101.54484275137978</v>
      </c>
      <c r="V20" s="24">
        <f t="shared" ca="1" si="14"/>
        <v>4.6917254067583576</v>
      </c>
      <c r="W20" s="24">
        <f>U20</f>
        <v>101.54484275137978</v>
      </c>
      <c r="X20" s="24">
        <f t="shared" ca="1" si="15"/>
        <v>4.6917254067583576</v>
      </c>
      <c r="Y20" s="24">
        <f t="shared" si="0"/>
        <v>0</v>
      </c>
      <c r="Z20" s="25">
        <f t="shared" si="1"/>
        <v>0</v>
      </c>
    </row>
    <row r="21" spans="1:26" ht="10.5" customHeight="1">
      <c r="A21" s="7" t="s">
        <v>49</v>
      </c>
      <c r="B21" s="15" t="s">
        <v>21</v>
      </c>
      <c r="C21" s="23">
        <f>C22+C23+C24</f>
        <v>1732.8700000000001</v>
      </c>
      <c r="D21" s="24">
        <f t="shared" ca="1" si="2"/>
        <v>6.8841820892720147</v>
      </c>
      <c r="E21" s="23">
        <f>E22+E23+E24</f>
        <v>3504.12</v>
      </c>
      <c r="F21" s="24">
        <f t="shared" ca="1" si="2"/>
        <v>13.920836613629326</v>
      </c>
      <c r="G21" s="12">
        <f t="shared" si="3"/>
        <v>1771.2499999999998</v>
      </c>
      <c r="H21" s="25">
        <f t="shared" si="4"/>
        <v>102.21482280840452</v>
      </c>
      <c r="I21" s="26">
        <f t="shared" ca="1" si="5"/>
        <v>1388.1899486396721</v>
      </c>
      <c r="J21" s="24">
        <f t="shared" ca="1" si="6"/>
        <v>6.8841820892720147</v>
      </c>
      <c r="K21" s="24">
        <v>1171.8699159087007</v>
      </c>
      <c r="L21" s="24">
        <f t="shared" ca="1" si="6"/>
        <v>5.8114279634143919</v>
      </c>
      <c r="M21" s="24">
        <f t="shared" si="7"/>
        <v>-216.32003273097143</v>
      </c>
      <c r="N21" s="25">
        <f t="shared" si="8"/>
        <v>-15.582884240225898</v>
      </c>
      <c r="O21" s="26">
        <f t="shared" ca="1" si="9"/>
        <v>195.68301357119881</v>
      </c>
      <c r="P21" s="24">
        <f t="shared" ca="1" si="10"/>
        <v>6.8841820892720147</v>
      </c>
      <c r="Q21" s="24">
        <v>165.18864767461812</v>
      </c>
      <c r="R21" s="24">
        <f t="shared" ca="1" si="10"/>
        <v>5.8113819330511687</v>
      </c>
      <c r="S21" s="24">
        <f t="shared" si="11"/>
        <v>-30.494365896580689</v>
      </c>
      <c r="T21" s="25">
        <f t="shared" si="12"/>
        <v>-15.583552879762546</v>
      </c>
      <c r="U21" s="26">
        <f t="shared" ca="1" si="13"/>
        <v>148.99703778912902</v>
      </c>
      <c r="V21" s="24">
        <f t="shared" ca="1" si="14"/>
        <v>6.8841820892720147</v>
      </c>
      <c r="W21" s="24">
        <v>125.94143641668096</v>
      </c>
      <c r="X21" s="24">
        <f t="shared" ca="1" si="15"/>
        <v>5.8189330052584625</v>
      </c>
      <c r="Y21" s="24">
        <f t="shared" si="0"/>
        <v>-23.055601372448066</v>
      </c>
      <c r="Z21" s="25">
        <f t="shared" si="1"/>
        <v>-15.47386559797112</v>
      </c>
    </row>
    <row r="22" spans="1:26" ht="10.5" customHeight="1">
      <c r="A22" s="8" t="s">
        <v>50</v>
      </c>
      <c r="B22" s="16" t="s">
        <v>235</v>
      </c>
      <c r="C22" s="23">
        <f>1102.65+155.43+118.35</f>
        <v>1376.43</v>
      </c>
      <c r="D22" s="24">
        <f t="shared" ca="1" si="2"/>
        <v>5.4681509594699422</v>
      </c>
      <c r="E22" s="12">
        <v>2110.6999999999998</v>
      </c>
      <c r="F22" s="24">
        <f t="shared" ca="1" si="2"/>
        <v>8.3851893886018214</v>
      </c>
      <c r="G22" s="12">
        <f t="shared" si="3"/>
        <v>734.26999999999975</v>
      </c>
      <c r="H22" s="25">
        <f t="shared" si="4"/>
        <v>53.345974731733527</v>
      </c>
      <c r="I22" s="26">
        <f t="shared" ca="1" si="5"/>
        <v>1102.6483758193656</v>
      </c>
      <c r="J22" s="24">
        <f t="shared" ca="1" si="6"/>
        <v>5.4681509594699422</v>
      </c>
      <c r="K22" s="24">
        <v>643.20679594988826</v>
      </c>
      <c r="L22" s="24">
        <f t="shared" ca="1" si="6"/>
        <v>3.1897311378139137</v>
      </c>
      <c r="M22" s="24">
        <f t="shared" si="7"/>
        <v>-459.44157986947732</v>
      </c>
      <c r="N22" s="25">
        <f t="shared" si="8"/>
        <v>-41.667098047287418</v>
      </c>
      <c r="O22" s="26">
        <f t="shared" ca="1" si="9"/>
        <v>155.43230038595229</v>
      </c>
      <c r="P22" s="24">
        <f t="shared" ca="1" si="10"/>
        <v>5.4681509594699422</v>
      </c>
      <c r="Q22" s="24">
        <v>90.66745323494078</v>
      </c>
      <c r="R22" s="24">
        <f t="shared" ca="1" si="10"/>
        <v>3.1897058730280849</v>
      </c>
      <c r="S22" s="24">
        <f t="shared" si="11"/>
        <v>-64.764847151011509</v>
      </c>
      <c r="T22" s="25">
        <f t="shared" si="12"/>
        <v>-41.667560082553372</v>
      </c>
      <c r="U22" s="26">
        <f t="shared" ca="1" si="13"/>
        <v>118.34932379468215</v>
      </c>
      <c r="V22" s="24">
        <f t="shared" ca="1" si="14"/>
        <v>5.4681509594699422</v>
      </c>
      <c r="W22" s="24">
        <v>69.125750815170747</v>
      </c>
      <c r="X22" s="24">
        <f t="shared" ca="1" si="15"/>
        <v>3.1938504464952464</v>
      </c>
      <c r="Y22" s="24">
        <f t="shared" si="0"/>
        <v>-49.223572979511403</v>
      </c>
      <c r="Z22" s="25">
        <f t="shared" si="1"/>
        <v>-41.591765293823499</v>
      </c>
    </row>
    <row r="23" spans="1:26" ht="10.5" customHeight="1">
      <c r="A23" s="8" t="s">
        <v>51</v>
      </c>
      <c r="B23" s="16" t="s">
        <v>18</v>
      </c>
      <c r="C23" s="26">
        <v>0</v>
      </c>
      <c r="D23" s="24">
        <f t="shared" ca="1" si="2"/>
        <v>0</v>
      </c>
      <c r="E23" s="24">
        <f t="shared" ref="E23:Z23" ca="1" si="16">D23/а</f>
        <v>0</v>
      </c>
      <c r="F23" s="24">
        <f t="shared" ca="1" si="16"/>
        <v>0</v>
      </c>
      <c r="G23" s="24">
        <f t="shared" ca="1" si="16"/>
        <v>0</v>
      </c>
      <c r="H23" s="24">
        <f t="shared" ca="1" si="16"/>
        <v>0</v>
      </c>
      <c r="I23" s="24">
        <f t="shared" ca="1" si="16"/>
        <v>0</v>
      </c>
      <c r="J23" s="24">
        <f t="shared" ca="1" si="16"/>
        <v>0</v>
      </c>
      <c r="K23" s="24">
        <f t="shared" ca="1" si="16"/>
        <v>0</v>
      </c>
      <c r="L23" s="24">
        <f t="shared" ca="1" si="16"/>
        <v>0</v>
      </c>
      <c r="M23" s="24">
        <f t="shared" ca="1" si="16"/>
        <v>0</v>
      </c>
      <c r="N23" s="24">
        <f t="shared" ca="1" si="16"/>
        <v>0</v>
      </c>
      <c r="O23" s="24">
        <f t="shared" ca="1" si="16"/>
        <v>0</v>
      </c>
      <c r="P23" s="24">
        <f t="shared" ca="1" si="16"/>
        <v>0</v>
      </c>
      <c r="Q23" s="24">
        <f t="shared" ca="1" si="16"/>
        <v>0</v>
      </c>
      <c r="R23" s="24">
        <f t="shared" ca="1" si="16"/>
        <v>0</v>
      </c>
      <c r="S23" s="24">
        <f t="shared" ca="1" si="16"/>
        <v>0</v>
      </c>
      <c r="T23" s="24">
        <f t="shared" ca="1" si="16"/>
        <v>0</v>
      </c>
      <c r="U23" s="24">
        <f t="shared" ca="1" si="16"/>
        <v>0</v>
      </c>
      <c r="V23" s="24">
        <f t="shared" ca="1" si="16"/>
        <v>0</v>
      </c>
      <c r="W23" s="24">
        <f t="shared" ca="1" si="16"/>
        <v>0</v>
      </c>
      <c r="X23" s="24">
        <f t="shared" ca="1" si="16"/>
        <v>0</v>
      </c>
      <c r="Y23" s="24">
        <f t="shared" ca="1" si="16"/>
        <v>0</v>
      </c>
      <c r="Z23" s="24">
        <f t="shared" ca="1" si="16"/>
        <v>0</v>
      </c>
    </row>
    <row r="24" spans="1:26" ht="10.5" customHeight="1">
      <c r="A24" s="8" t="s">
        <v>52</v>
      </c>
      <c r="B24" s="16" t="s">
        <v>23</v>
      </c>
      <c r="C24" s="23">
        <f>285.54+40.25+30.65</f>
        <v>356.44</v>
      </c>
      <c r="D24" s="24">
        <f t="shared" ca="1" si="2"/>
        <v>1.4160311298020722</v>
      </c>
      <c r="E24" s="12">
        <f>325.6+55.01+212.45+185.26+363.11+249.99+2</f>
        <v>1393.4199999999998</v>
      </c>
      <c r="F24" s="24">
        <f t="shared" ca="1" si="2"/>
        <v>5.5356472250275033</v>
      </c>
      <c r="G24" s="12">
        <f t="shared" si="3"/>
        <v>1036.9799999999998</v>
      </c>
      <c r="H24" s="25">
        <f t="shared" si="4"/>
        <v>290.9269442262372</v>
      </c>
      <c r="I24" s="26">
        <f t="shared" ca="1" si="5"/>
        <v>285.54157282030667</v>
      </c>
      <c r="J24" s="24">
        <f t="shared" ca="1" si="6"/>
        <v>1.4160311298020725</v>
      </c>
      <c r="K24" s="24">
        <v>293.96873488618809</v>
      </c>
      <c r="L24" s="24">
        <f t="shared" ca="1" si="6"/>
        <v>1.4578223257505685</v>
      </c>
      <c r="M24" s="24">
        <f t="shared" si="7"/>
        <v>8.4271620658814186</v>
      </c>
      <c r="N24" s="25">
        <f t="shared" si="8"/>
        <v>2.9512907639493502</v>
      </c>
      <c r="O24" s="26">
        <f t="shared" ca="1" si="9"/>
        <v>40.250713185246497</v>
      </c>
      <c r="P24" s="24">
        <f t="shared" ca="1" si="10"/>
        <v>1.4160311298020722</v>
      </c>
      <c r="Q24" s="24">
        <v>41.438300544487262</v>
      </c>
      <c r="R24" s="24">
        <f t="shared" ca="1" si="10"/>
        <v>1.457810778831018</v>
      </c>
      <c r="S24" s="24">
        <f t="shared" si="11"/>
        <v>1.1875873592407657</v>
      </c>
      <c r="T24" s="25">
        <f t="shared" si="12"/>
        <v>2.9504753214560786</v>
      </c>
      <c r="U24" s="26">
        <f t="shared" ca="1" si="13"/>
        <v>30.647713994446871</v>
      </c>
      <c r="V24" s="24">
        <f t="shared" ca="1" si="14"/>
        <v>1.4160311298020722</v>
      </c>
      <c r="W24" s="24">
        <v>31.592964569324614</v>
      </c>
      <c r="X24" s="24">
        <f t="shared" ca="1" si="15"/>
        <v>1.4597049985850006</v>
      </c>
      <c r="Y24" s="24">
        <f t="shared" si="0"/>
        <v>0.94525057487774333</v>
      </c>
      <c r="Z24" s="25">
        <f t="shared" si="1"/>
        <v>3.0842449621169639</v>
      </c>
    </row>
    <row r="25" spans="1:26" ht="10.5" customHeight="1">
      <c r="A25" s="7" t="s">
        <v>53</v>
      </c>
      <c r="B25" s="14" t="s">
        <v>24</v>
      </c>
      <c r="C25" s="23">
        <f>C26+C27+C28</f>
        <v>2255.0699999999997</v>
      </c>
      <c r="D25" s="24">
        <f t="shared" ca="1" si="2"/>
        <v>8.9587288740959448</v>
      </c>
      <c r="E25" s="23">
        <f>E26+E27+E28</f>
        <v>2906.5299999999997</v>
      </c>
      <c r="F25" s="24">
        <f t="shared" ca="1" si="2"/>
        <v>11.54678756509824</v>
      </c>
      <c r="G25" s="12">
        <f t="shared" si="3"/>
        <v>651.46</v>
      </c>
      <c r="H25" s="25">
        <f t="shared" si="4"/>
        <v>28.888681947788765</v>
      </c>
      <c r="I25" s="26">
        <f t="shared" ca="1" si="5"/>
        <v>1806.5206896529255</v>
      </c>
      <c r="J25" s="24">
        <f t="shared" ca="1" si="6"/>
        <v>8.9587288740959448</v>
      </c>
      <c r="K25" s="24">
        <v>1378.5291355289637</v>
      </c>
      <c r="L25" s="24">
        <f t="shared" ca="1" si="6"/>
        <v>6.8362730861491237</v>
      </c>
      <c r="M25" s="24">
        <f t="shared" si="7"/>
        <v>-427.99155412396181</v>
      </c>
      <c r="N25" s="25">
        <f t="shared" si="8"/>
        <v>-23.6914836666603</v>
      </c>
      <c r="O25" s="26">
        <f t="shared" ca="1" si="9"/>
        <v>254.65204742075471</v>
      </c>
      <c r="P25" s="24">
        <f t="shared" ca="1" si="10"/>
        <v>8.9587288740959448</v>
      </c>
      <c r="Q25" s="24">
        <v>194.31966004649203</v>
      </c>
      <c r="R25" s="24">
        <f t="shared" ca="1" si="10"/>
        <v>6.8362189383329204</v>
      </c>
      <c r="S25" s="24">
        <f t="shared" si="11"/>
        <v>-60.33238737426268</v>
      </c>
      <c r="T25" s="25">
        <f t="shared" si="12"/>
        <v>-23.692088080712388</v>
      </c>
      <c r="U25" s="26">
        <f t="shared" ca="1" si="13"/>
        <v>193.89726292631943</v>
      </c>
      <c r="V25" s="24">
        <f t="shared" ca="1" si="14"/>
        <v>8.9587288740959448</v>
      </c>
      <c r="W25" s="24">
        <v>148.15120442454403</v>
      </c>
      <c r="X25" s="24">
        <f t="shared" ca="1" si="15"/>
        <v>6.8451016418659014</v>
      </c>
      <c r="Y25" s="24">
        <f t="shared" si="0"/>
        <v>-45.746058501775394</v>
      </c>
      <c r="Z25" s="25">
        <f t="shared" si="1"/>
        <v>-23.592936698213634</v>
      </c>
    </row>
    <row r="26" spans="1:26" ht="10.5" customHeight="1">
      <c r="A26" s="8" t="s">
        <v>54</v>
      </c>
      <c r="B26" s="16" t="s">
        <v>235</v>
      </c>
      <c r="C26" s="23">
        <f>1624.11+228.94+174.32</f>
        <v>2027.37</v>
      </c>
      <c r="D26" s="24">
        <f t="shared" ca="1" si="2"/>
        <v>8.0541438436393982</v>
      </c>
      <c r="E26" s="12">
        <v>2335.33</v>
      </c>
      <c r="F26" s="24">
        <f t="shared" ca="1" si="2"/>
        <v>9.2775782133337259</v>
      </c>
      <c r="G26" s="12">
        <f t="shared" si="3"/>
        <v>307.96000000000004</v>
      </c>
      <c r="H26" s="25">
        <f t="shared" si="4"/>
        <v>15.190123164493905</v>
      </c>
      <c r="I26" s="26">
        <f t="shared" ca="1" si="5"/>
        <v>1624.1118238376866</v>
      </c>
      <c r="J26" s="24">
        <f t="shared" ca="1" si="6"/>
        <v>8.0541438436393982</v>
      </c>
      <c r="K26" s="24">
        <v>880.30419520414353</v>
      </c>
      <c r="L26" s="24">
        <f t="shared" ca="1" si="6"/>
        <v>4.3655224414165525</v>
      </c>
      <c r="M26" s="24">
        <f t="shared" si="7"/>
        <v>-743.80762863354312</v>
      </c>
      <c r="N26" s="25">
        <f t="shared" si="8"/>
        <v>-45.797808852592844</v>
      </c>
      <c r="O26" s="26">
        <f t="shared" ca="1" si="9"/>
        <v>228.93919983832677</v>
      </c>
      <c r="P26" s="24">
        <f t="shared" ca="1" si="10"/>
        <v>8.0541438436393982</v>
      </c>
      <c r="Q26" s="24">
        <v>124.08907983212941</v>
      </c>
      <c r="R26" s="24">
        <f t="shared" ca="1" si="10"/>
        <v>4.3654878635838923</v>
      </c>
      <c r="S26" s="24">
        <f t="shared" si="11"/>
        <v>-104.85012000619736</v>
      </c>
      <c r="T26" s="25">
        <f t="shared" si="12"/>
        <v>-45.798238169890013</v>
      </c>
      <c r="U26" s="26">
        <f t="shared" ca="1" si="13"/>
        <v>174.3189763239865</v>
      </c>
      <c r="V26" s="24">
        <f t="shared" ca="1" si="14"/>
        <v>8.0541438436393982</v>
      </c>
      <c r="W26" s="24">
        <v>94.606724963726847</v>
      </c>
      <c r="X26" s="24">
        <f t="shared" ca="1" si="15"/>
        <v>4.3711602001223859</v>
      </c>
      <c r="Y26" s="24">
        <f t="shared" si="0"/>
        <v>-79.712251360259657</v>
      </c>
      <c r="Z26" s="25">
        <f t="shared" si="1"/>
        <v>-45.727810615470645</v>
      </c>
    </row>
    <row r="27" spans="1:26" ht="10.5" customHeight="1">
      <c r="A27" s="8" t="s">
        <v>55</v>
      </c>
      <c r="B27" s="18" t="s">
        <v>18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</row>
    <row r="28" spans="1:26" ht="10.5" customHeight="1">
      <c r="A28" s="8" t="s">
        <v>56</v>
      </c>
      <c r="B28" s="16" t="s">
        <v>23</v>
      </c>
      <c r="C28" s="23">
        <f>182.41+25.71+19.58</f>
        <v>227.7</v>
      </c>
      <c r="D28" s="24">
        <f t="shared" ca="1" si="2"/>
        <v>0.90458503045654759</v>
      </c>
      <c r="E28" s="12">
        <f>149.12+45.44+70.5+2.71+303.43</f>
        <v>571.20000000000005</v>
      </c>
      <c r="F28" s="24">
        <f t="shared" ca="1" si="2"/>
        <v>2.2692093517645149</v>
      </c>
      <c r="G28" s="12">
        <f t="shared" si="3"/>
        <v>343.50000000000006</v>
      </c>
      <c r="H28" s="25">
        <f t="shared" si="4"/>
        <v>150.85638998682481</v>
      </c>
      <c r="I28" s="26">
        <f t="shared" ref="I28:I33" ca="1" si="17">C28/а*а1</f>
        <v>182.40886581523907</v>
      </c>
      <c r="J28" s="24">
        <f t="shared" ca="1" si="6"/>
        <v>0.90458503045654759</v>
      </c>
      <c r="K28" s="24">
        <v>177.02204471348111</v>
      </c>
      <c r="L28" s="24">
        <f t="shared" ca="1" si="6"/>
        <v>0.87787120978440236</v>
      </c>
      <c r="M28" s="24">
        <f t="shared" si="7"/>
        <v>-5.3868211017579597</v>
      </c>
      <c r="N28" s="25">
        <f t="shared" si="8"/>
        <v>-2.9531575001481789</v>
      </c>
      <c r="O28" s="26">
        <f t="shared" ca="1" si="9"/>
        <v>25.712847582427976</v>
      </c>
      <c r="P28" s="24">
        <f t="shared" ca="1" si="10"/>
        <v>0.9045850304565477</v>
      </c>
      <c r="Q28" s="24">
        <v>24.953309047225297</v>
      </c>
      <c r="R28" s="24">
        <f t="shared" ca="1" si="10"/>
        <v>0.87786425646227506</v>
      </c>
      <c r="S28" s="24">
        <f t="shared" si="11"/>
        <v>-0.75953853520267955</v>
      </c>
      <c r="T28" s="25">
        <f t="shared" si="12"/>
        <v>-2.9539261754958024</v>
      </c>
      <c r="U28" s="26">
        <f t="shared" ca="1" si="13"/>
        <v>19.578286602332938</v>
      </c>
      <c r="V28" s="24">
        <f t="shared" ca="1" si="14"/>
        <v>0.90458503045654759</v>
      </c>
      <c r="W28" s="24">
        <v>19.02464623929357</v>
      </c>
      <c r="X28" s="24">
        <f t="shared" ca="1" si="15"/>
        <v>0.87900491740404674</v>
      </c>
      <c r="Y28" s="24">
        <f t="shared" si="0"/>
        <v>-0.55364036303936714</v>
      </c>
      <c r="Z28" s="25">
        <f t="shared" si="1"/>
        <v>-2.8278284728623579</v>
      </c>
    </row>
    <row r="29" spans="1:26" ht="10.5" customHeight="1">
      <c r="A29" s="7">
        <v>3</v>
      </c>
      <c r="B29" s="14" t="s">
        <v>25</v>
      </c>
      <c r="C29" s="26">
        <f>C30+C31+C32</f>
        <v>0</v>
      </c>
      <c r="D29" s="24">
        <f ca="1">C29/а</f>
        <v>0</v>
      </c>
      <c r="E29" s="12">
        <f ca="1">E30+E32</f>
        <v>1573.04</v>
      </c>
      <c r="F29" s="24">
        <f ca="1">E29/а</f>
        <v>6.2492245775554132</v>
      </c>
      <c r="G29" s="12">
        <f ca="1">E29-C29</f>
        <v>1573.04</v>
      </c>
      <c r="H29" s="25" t="e">
        <f ca="1">G29/C29*100</f>
        <v>#DIV/0!</v>
      </c>
      <c r="I29" s="26">
        <f t="shared" ca="1" si="17"/>
        <v>0</v>
      </c>
      <c r="J29" s="24">
        <f ca="1">I29/а1</f>
        <v>0</v>
      </c>
      <c r="K29" s="24">
        <v>261.92854579777526</v>
      </c>
      <c r="L29" s="24">
        <f ca="1">K29/а1</f>
        <v>1.2989316090475096</v>
      </c>
      <c r="M29" s="24">
        <f>K29-I29</f>
        <v>261.92854579777526</v>
      </c>
      <c r="N29" s="25" t="e">
        <f>M29/I29*100</f>
        <v>#DIV/0!</v>
      </c>
      <c r="O29" s="26">
        <f ca="1">C29/а*а2</f>
        <v>0</v>
      </c>
      <c r="P29" s="24">
        <f ca="1">O29/а2</f>
        <v>0</v>
      </c>
      <c r="Q29" s="24">
        <v>36.921864517840149</v>
      </c>
      <c r="R29" s="24">
        <f ca="1">Q29/а2</f>
        <v>1.2989213206478007</v>
      </c>
      <c r="S29" s="24">
        <f>Q29-O29</f>
        <v>36.921864517840149</v>
      </c>
      <c r="T29" s="25" t="e">
        <f>S29/O29*100</f>
        <v>#DIV/0!</v>
      </c>
      <c r="U29" s="26">
        <f ca="1">C29/а*а3</f>
        <v>0</v>
      </c>
      <c r="V29" s="24">
        <f ca="1">U29/а3</f>
        <v>0</v>
      </c>
      <c r="W29" s="24">
        <v>28.149589684384605</v>
      </c>
      <c r="X29" s="24">
        <f ca="1">W29/а3</f>
        <v>1.3006090859326844</v>
      </c>
      <c r="Y29" s="24">
        <f t="shared" si="0"/>
        <v>28.149589684384605</v>
      </c>
      <c r="Z29" s="25" t="e">
        <f t="shared" si="1"/>
        <v>#DIV/0!</v>
      </c>
    </row>
    <row r="30" spans="1:26" ht="10.5" customHeight="1">
      <c r="A30" s="8" t="s">
        <v>57</v>
      </c>
      <c r="B30" s="16" t="s">
        <v>235</v>
      </c>
      <c r="C30" s="26">
        <v>0</v>
      </c>
      <c r="D30" s="24">
        <f ca="1">C30/а</f>
        <v>0</v>
      </c>
      <c r="E30" s="12">
        <f ca="1">630.5+659.1</f>
        <v>1289.5999999999999</v>
      </c>
      <c r="F30" s="24">
        <f ca="1">E30/а</f>
        <v>5.1232009454403329</v>
      </c>
      <c r="G30" s="12">
        <f ca="1">E30-C30</f>
        <v>1289.5999999999999</v>
      </c>
      <c r="H30" s="25" t="e">
        <f ca="1">G30/C30*100</f>
        <v>#DIV/0!</v>
      </c>
      <c r="I30" s="26">
        <f t="shared" ca="1" si="17"/>
        <v>0</v>
      </c>
      <c r="J30" s="24">
        <f ca="1">I30/а1</f>
        <v>0</v>
      </c>
      <c r="K30" s="24">
        <v>185.03209198558432</v>
      </c>
      <c r="L30" s="24">
        <f ca="1">K30/а1</f>
        <v>0.91759388896016714</v>
      </c>
      <c r="M30" s="24">
        <f>K30-I30</f>
        <v>185.03209198558432</v>
      </c>
      <c r="N30" s="25" t="e">
        <f>M30/I30*100</f>
        <v>#DIV/0!</v>
      </c>
      <c r="O30" s="26">
        <f ca="1">C30/а*а2</f>
        <v>0</v>
      </c>
      <c r="P30" s="24">
        <f ca="1">O30/а2</f>
        <v>0</v>
      </c>
      <c r="Q30" s="24">
        <v>26.082418053887075</v>
      </c>
      <c r="R30" s="24">
        <f ca="1">Q30/а2</f>
        <v>0.91758662100807931</v>
      </c>
      <c r="S30" s="24">
        <f>Q30-O30</f>
        <v>26.082418053887075</v>
      </c>
      <c r="T30" s="25" t="e">
        <f>S30/O30*100</f>
        <v>#DIV/0!</v>
      </c>
      <c r="U30" s="26">
        <f ca="1">C30/а*а3</f>
        <v>0</v>
      </c>
      <c r="V30" s="24">
        <f ca="1">U30/а3</f>
        <v>0</v>
      </c>
      <c r="W30" s="24">
        <v>19.885489960528574</v>
      </c>
      <c r="X30" s="24">
        <f ca="1">W30/а3</f>
        <v>0.91877889556712578</v>
      </c>
      <c r="Y30" s="24">
        <f t="shared" si="0"/>
        <v>19.885489960528574</v>
      </c>
      <c r="Z30" s="25" t="e">
        <f t="shared" si="1"/>
        <v>#DIV/0!</v>
      </c>
    </row>
    <row r="31" spans="1:26" ht="10.5" customHeight="1">
      <c r="A31" s="8" t="s">
        <v>58</v>
      </c>
      <c r="B31" s="18" t="s">
        <v>18</v>
      </c>
      <c r="C31" s="26">
        <v>0</v>
      </c>
      <c r="D31" s="24">
        <f ca="1">C31/а</f>
        <v>0</v>
      </c>
      <c r="E31" s="12">
        <v>0</v>
      </c>
      <c r="F31" s="24">
        <f ca="1">E31/а</f>
        <v>0</v>
      </c>
      <c r="G31" s="12">
        <f ca="1">E31-C31</f>
        <v>0</v>
      </c>
      <c r="H31" s="25" t="e">
        <f ca="1">G31/C31*100</f>
        <v>#DIV/0!</v>
      </c>
      <c r="I31" s="26">
        <f t="shared" ca="1" si="17"/>
        <v>0</v>
      </c>
      <c r="J31" s="24">
        <f ca="1">I31/а1</f>
        <v>0</v>
      </c>
      <c r="K31" s="24">
        <v>67.284397085667024</v>
      </c>
      <c r="L31" s="24">
        <f ca="1">K31/а1</f>
        <v>0.33367050507642437</v>
      </c>
      <c r="M31" s="24">
        <f>K31-I31</f>
        <v>67.284397085667024</v>
      </c>
      <c r="N31" s="25" t="e">
        <f>M31/I31*100</f>
        <v>#DIV/0!</v>
      </c>
      <c r="O31" s="26">
        <f ca="1">C31/а*а2</f>
        <v>0</v>
      </c>
      <c r="P31" s="24">
        <f ca="1">O31/а2</f>
        <v>0</v>
      </c>
      <c r="Q31" s="24">
        <v>9.484515655958937</v>
      </c>
      <c r="R31" s="24">
        <f ca="1">Q31/а2</f>
        <v>0.33366786218475614</v>
      </c>
      <c r="S31" s="24">
        <f>Q31-O31</f>
        <v>9.484515655958937</v>
      </c>
      <c r="T31" s="25" t="e">
        <f>S31/O31*100</f>
        <v>#DIV/0!</v>
      </c>
      <c r="U31" s="26">
        <f ca="1">C31/а*а3</f>
        <v>0</v>
      </c>
      <c r="V31" s="24">
        <f ca="1">U31/а3</f>
        <v>0</v>
      </c>
      <c r="W31" s="24">
        <v>7.2310872583740267</v>
      </c>
      <c r="X31" s="24">
        <f ca="1">W31/а3</f>
        <v>0.33410141656986392</v>
      </c>
      <c r="Y31" s="24">
        <f t="shared" si="0"/>
        <v>7.2310872583740267</v>
      </c>
      <c r="Z31" s="25" t="e">
        <f t="shared" si="1"/>
        <v>#DIV/0!</v>
      </c>
    </row>
    <row r="32" spans="1:26" ht="10.5" customHeight="1">
      <c r="A32" s="8" t="s">
        <v>59</v>
      </c>
      <c r="B32" s="18" t="s">
        <v>23</v>
      </c>
      <c r="C32" s="26">
        <v>0</v>
      </c>
      <c r="D32" s="24">
        <f ca="1">C32/а</f>
        <v>0</v>
      </c>
      <c r="E32" s="12">
        <f ca="1">0.08+2.1+21.31+58.69+77.83+17.11+13.49+28.31+4.04+57.48+3</f>
        <v>283.44</v>
      </c>
      <c r="F32" s="24">
        <f ca="1">E32/а</f>
        <v>1.1260236321150807</v>
      </c>
      <c r="G32" s="12">
        <f ca="1">E32-C32</f>
        <v>283.44</v>
      </c>
      <c r="H32" s="25" t="e">
        <f ca="1">G32/C32*100</f>
        <v>#DIV/0!</v>
      </c>
      <c r="I32" s="26">
        <f t="shared" ca="1" si="17"/>
        <v>0</v>
      </c>
      <c r="J32" s="24">
        <f ca="1">I32/а1</f>
        <v>0</v>
      </c>
      <c r="K32" s="24">
        <v>9.6120567265238606</v>
      </c>
      <c r="L32" s="24">
        <f ca="1">K32/а1</f>
        <v>4.7667215010917773E-2</v>
      </c>
      <c r="M32" s="24">
        <f>K32-I32</f>
        <v>9.6120567265238606</v>
      </c>
      <c r="N32" s="25" t="e">
        <f>M32/I32*100</f>
        <v>#DIV/0!</v>
      </c>
      <c r="O32" s="26">
        <f ca="1">C32/а*а2</f>
        <v>0</v>
      </c>
      <c r="P32" s="24">
        <f ca="1">O32/а2</f>
        <v>0</v>
      </c>
      <c r="Q32" s="24">
        <v>1.3549308079941338</v>
      </c>
      <c r="R32" s="24">
        <f ca="1">Q32/а2</f>
        <v>4.7666837454965159E-2</v>
      </c>
      <c r="S32" s="24">
        <f>Q32-O32</f>
        <v>1.3549308079941338</v>
      </c>
      <c r="T32" s="25" t="e">
        <f>S32/O32*100</f>
        <v>#DIV/0!</v>
      </c>
      <c r="U32" s="26">
        <f ca="1">C32/а*а3</f>
        <v>0</v>
      </c>
      <c r="V32" s="24">
        <f ca="1">U32/а3</f>
        <v>0</v>
      </c>
      <c r="W32" s="24">
        <v>1.0330124654820037</v>
      </c>
      <c r="X32" s="24">
        <f ca="1">W32/а3</f>
        <v>4.7728773795694839E-2</v>
      </c>
      <c r="Y32" s="24">
        <f t="shared" si="0"/>
        <v>1.0330124654820037</v>
      </c>
      <c r="Z32" s="25" t="e">
        <f t="shared" si="1"/>
        <v>#DIV/0!</v>
      </c>
    </row>
    <row r="33" spans="1:26" ht="10.5" customHeight="1">
      <c r="A33" s="7">
        <v>4</v>
      </c>
      <c r="B33" s="14" t="s">
        <v>26</v>
      </c>
      <c r="C33" s="26">
        <v>0</v>
      </c>
      <c r="D33" s="24">
        <f ca="1">C33/а</f>
        <v>0</v>
      </c>
      <c r="E33" s="12">
        <f ca="1">3790.64</f>
        <v>3790.64</v>
      </c>
      <c r="F33" s="24">
        <f ca="1">E33/а</f>
        <v>15.059096178523529</v>
      </c>
      <c r="G33" s="12">
        <f ca="1">E33-C33</f>
        <v>3790.64</v>
      </c>
      <c r="H33" s="25" t="e">
        <f ca="1">G33/C33*100</f>
        <v>#DIV/0!</v>
      </c>
      <c r="I33" s="26">
        <f t="shared" ca="1" si="17"/>
        <v>0</v>
      </c>
      <c r="J33" s="24">
        <f ca="1">I33/а1</f>
        <v>0</v>
      </c>
      <c r="K33" s="24">
        <v>1316.8517715337689</v>
      </c>
      <c r="L33" s="24">
        <f ca="1">K33/а1</f>
        <v>6.530408456495735</v>
      </c>
      <c r="M33" s="24">
        <f>K33-I33</f>
        <v>1316.8517715337689</v>
      </c>
      <c r="N33" s="25" t="e">
        <f>M33/I33*100</f>
        <v>#DIV/0!</v>
      </c>
      <c r="O33" s="26">
        <f ca="1">C33/а*а2</f>
        <v>0</v>
      </c>
      <c r="P33" s="24">
        <f ca="1">O33/а2</f>
        <v>0</v>
      </c>
      <c r="Q33" s="24">
        <v>185.62552069519631</v>
      </c>
      <c r="R33" s="24">
        <f ca="1">Q33/а2</f>
        <v>6.5303567313302269</v>
      </c>
      <c r="S33" s="24">
        <f>Q33-O33</f>
        <v>185.62552069519631</v>
      </c>
      <c r="T33" s="25" t="e">
        <f>S33/O33*100</f>
        <v>#DIV/0!</v>
      </c>
      <c r="U33" s="26">
        <f ca="1">C33/а*а3</f>
        <v>0</v>
      </c>
      <c r="V33" s="24">
        <f ca="1">U33/а3</f>
        <v>0</v>
      </c>
      <c r="W33" s="24">
        <v>141.5227077710345</v>
      </c>
      <c r="X33" s="24">
        <f ca="1">W33/а3</f>
        <v>6.5388420100101925</v>
      </c>
      <c r="Y33" s="24">
        <f t="shared" si="0"/>
        <v>141.5227077710345</v>
      </c>
      <c r="Z33" s="25" t="e">
        <f t="shared" si="1"/>
        <v>#DIV/0!</v>
      </c>
    </row>
    <row r="34" spans="1:26" ht="10.5" customHeight="1">
      <c r="A34" s="7">
        <v>5</v>
      </c>
      <c r="B34" s="14" t="s">
        <v>27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</row>
    <row r="35" spans="1:26" ht="10.5" customHeight="1">
      <c r="A35" s="7">
        <v>6</v>
      </c>
      <c r="B35" s="14" t="s">
        <v>28</v>
      </c>
      <c r="C35" s="23">
        <f>C8+C25+C29+C33</f>
        <v>38743.18</v>
      </c>
      <c r="D35" s="24">
        <f ca="1">C35/а</f>
        <v>153.91524224981777</v>
      </c>
      <c r="E35" s="26">
        <f ca="1">E8+E25+E29+E33</f>
        <v>43966.31</v>
      </c>
      <c r="F35" s="24">
        <f ca="1">E35/а</f>
        <v>174.66519925521305</v>
      </c>
      <c r="G35" s="12">
        <f ca="1">E35-C35</f>
        <v>5223.1299999999974</v>
      </c>
      <c r="H35" s="25">
        <f ca="1">G35/C35*100</f>
        <v>13.481417890839104</v>
      </c>
      <c r="I35" s="27">
        <f ca="1">C35/а*а1</f>
        <v>31036.888545786798</v>
      </c>
      <c r="J35" s="24">
        <f ca="1">I35/а1</f>
        <v>153.91524224981777</v>
      </c>
      <c r="K35" s="23">
        <f ca="1">K8+K25+K29+K33</f>
        <v>23179.192165467957</v>
      </c>
      <c r="L35" s="24">
        <f ca="1">K35/а1</f>
        <v>114.94808740379931</v>
      </c>
      <c r="M35" s="24">
        <f>K35-I35</f>
        <v>-7857.696380318841</v>
      </c>
      <c r="N35" s="25">
        <f>M35/I35*100</f>
        <v>-25.317281301335566</v>
      </c>
      <c r="O35" s="27">
        <f ca="1">C35/а*а2</f>
        <v>4375.0438392559154</v>
      </c>
      <c r="P35" s="24">
        <f ca="1">O35/а2</f>
        <v>153.91524224981777</v>
      </c>
      <c r="Q35" s="29">
        <v>2999.2522543956811</v>
      </c>
      <c r="R35" s="24">
        <f ca="1">Q35/а2</f>
        <v>105.51451694301996</v>
      </c>
      <c r="S35" s="24">
        <f>Q35-O35</f>
        <v>-1375.7915848602343</v>
      </c>
      <c r="T35" s="25">
        <f>S35/O35*100</f>
        <v>-31.446349691760382</v>
      </c>
      <c r="U35" s="27">
        <f ca="1">C35/а*а3</f>
        <v>3331.2476149572835</v>
      </c>
      <c r="V35" s="24">
        <f ca="1">U35/а3</f>
        <v>153.91524224981777</v>
      </c>
      <c r="W35" s="29">
        <v>2286.6591767165387</v>
      </c>
      <c r="X35" s="24">
        <f ca="1">W35/а3</f>
        <v>105.65161819458683</v>
      </c>
      <c r="Y35" s="24">
        <f>W35-U35</f>
        <v>-1044.5884382407448</v>
      </c>
      <c r="Z35" s="25">
        <f>Y35/U35*100</f>
        <v>-31.357273879928606</v>
      </c>
    </row>
    <row r="36" spans="1:26" ht="10.5" customHeight="1">
      <c r="A36" s="7">
        <v>7</v>
      </c>
      <c r="B36" s="14" t="s">
        <v>29</v>
      </c>
      <c r="C36" s="23">
        <v>0</v>
      </c>
      <c r="D36" s="23">
        <v>0</v>
      </c>
      <c r="E36" s="27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</row>
    <row r="37" spans="1:26" ht="10.5" customHeight="1">
      <c r="A37" s="8" t="s">
        <v>60</v>
      </c>
      <c r="B37" s="18" t="s">
        <v>30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</row>
    <row r="38" spans="1:26" ht="10.5" customHeight="1">
      <c r="A38" s="8" t="s">
        <v>61</v>
      </c>
      <c r="B38" s="18" t="s">
        <v>31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</row>
    <row r="39" spans="1:26" ht="10.5" customHeight="1">
      <c r="A39" s="8" t="s">
        <v>62</v>
      </c>
      <c r="B39" s="18" t="s">
        <v>32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</row>
    <row r="40" spans="1:26" ht="24" customHeight="1">
      <c r="A40" s="8" t="s">
        <v>63</v>
      </c>
      <c r="B40" s="19" t="s">
        <v>33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</row>
    <row r="41" spans="1:26" ht="10.5" customHeight="1">
      <c r="A41" s="8" t="s">
        <v>64</v>
      </c>
      <c r="B41" s="18" t="s">
        <v>34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</row>
    <row r="42" spans="1:26" ht="21.75" customHeight="1">
      <c r="A42" s="7">
        <v>8</v>
      </c>
      <c r="B42" s="20" t="s">
        <v>35</v>
      </c>
      <c r="C42" s="26"/>
      <c r="D42" s="26">
        <f>C12/C45</f>
        <v>69.71159320524572</v>
      </c>
      <c r="E42" s="30"/>
      <c r="F42" s="26">
        <f>E12/E45</f>
        <v>69.771384238808452</v>
      </c>
      <c r="G42" s="12"/>
      <c r="H42" s="28"/>
      <c r="I42" s="30"/>
      <c r="J42" s="26">
        <f>I12/I45</f>
        <v>69.711593205245734</v>
      </c>
      <c r="K42" s="30"/>
      <c r="L42" s="26">
        <f>K12/K45</f>
        <v>36.837372396877399</v>
      </c>
      <c r="M42" s="24"/>
      <c r="N42" s="25"/>
      <c r="O42" s="30"/>
      <c r="P42" s="26">
        <f>O12/O45</f>
        <v>69.711593205245734</v>
      </c>
      <c r="Q42" s="30"/>
      <c r="R42" s="26">
        <f>Q12/Q45</f>
        <v>39.600617007837215</v>
      </c>
      <c r="S42" s="24"/>
      <c r="T42" s="25"/>
      <c r="U42" s="30"/>
      <c r="V42" s="26">
        <f>U12/U45</f>
        <v>69.71159320524572</v>
      </c>
      <c r="W42" s="30"/>
      <c r="X42" s="26">
        <f>W12/W45</f>
        <v>36.840720977028539</v>
      </c>
      <c r="Y42" s="12"/>
      <c r="Z42" s="28"/>
    </row>
    <row r="43" spans="1:26" ht="14.25" customHeight="1">
      <c r="A43" s="10">
        <v>9</v>
      </c>
      <c r="B43" s="21" t="s">
        <v>36</v>
      </c>
      <c r="C43" s="31"/>
      <c r="D43" s="31">
        <f ca="1">38743.18/а</f>
        <v>153.91524224981777</v>
      </c>
      <c r="E43" s="31"/>
      <c r="F43" s="31">
        <f>E35/E44</f>
        <v>234.11439267426798</v>
      </c>
      <c r="G43" s="32"/>
      <c r="H43" s="33"/>
      <c r="I43" s="34"/>
      <c r="J43" s="35">
        <f ca="1">I35/а1</f>
        <v>153.91524224981777</v>
      </c>
      <c r="K43" s="34"/>
      <c r="L43" s="35">
        <f>K35/K44</f>
        <v>158.27267936352746</v>
      </c>
      <c r="M43" s="32"/>
      <c r="N43" s="33"/>
      <c r="O43" s="34"/>
      <c r="P43" s="35">
        <f>O35/O44</f>
        <v>153.91524224981777</v>
      </c>
      <c r="Q43" s="34"/>
      <c r="R43" s="35">
        <f>Q35/Q44</f>
        <v>119.04909305818308</v>
      </c>
      <c r="S43" s="32"/>
      <c r="T43" s="33"/>
      <c r="U43" s="31"/>
      <c r="V43" s="35">
        <f>U35/U44</f>
        <v>153.91524224981777</v>
      </c>
      <c r="W43" s="35"/>
      <c r="X43" s="35">
        <f>W35/W44</f>
        <v>141.55374376108324</v>
      </c>
      <c r="Y43" s="32"/>
      <c r="Z43" s="33"/>
    </row>
    <row r="44" spans="1:26" ht="10.5" customHeight="1">
      <c r="A44" s="11">
        <v>10</v>
      </c>
      <c r="B44" s="22" t="s">
        <v>74</v>
      </c>
      <c r="C44" s="186">
        <f>I44+O44+U44</f>
        <v>251.71763000000001</v>
      </c>
      <c r="D44" s="12"/>
      <c r="E44" s="186">
        <f>K44+Q44+W44</f>
        <v>187.798407</v>
      </c>
      <c r="F44" s="12"/>
      <c r="G44" s="12"/>
      <c r="H44" s="12"/>
      <c r="I44" s="36">
        <v>201.64922000000001</v>
      </c>
      <c r="J44" s="12"/>
      <c r="K44" s="186">
        <v>146.45099999999999</v>
      </c>
      <c r="L44" s="12"/>
      <c r="M44" s="12"/>
      <c r="N44" s="12"/>
      <c r="O44" s="186">
        <v>28.42502</v>
      </c>
      <c r="P44" s="12"/>
      <c r="Q44" s="186">
        <v>25.193407000000001</v>
      </c>
      <c r="R44" s="12"/>
      <c r="S44" s="12"/>
      <c r="T44" s="12"/>
      <c r="U44" s="186">
        <v>21.64339</v>
      </c>
      <c r="V44" s="12"/>
      <c r="W44" s="187">
        <v>16.154</v>
      </c>
      <c r="X44" s="12"/>
      <c r="Y44" s="12"/>
      <c r="Z44" s="12"/>
    </row>
    <row r="45" spans="1:26" ht="10.5" customHeight="1">
      <c r="A45" s="13">
        <v>11</v>
      </c>
      <c r="B45" s="22" t="s">
        <v>75</v>
      </c>
      <c r="C45" s="186">
        <v>281.90805999999998</v>
      </c>
      <c r="D45" s="12"/>
      <c r="E45" s="189">
        <v>275.468234</v>
      </c>
      <c r="F45" s="12"/>
      <c r="G45" s="12"/>
      <c r="H45" s="12"/>
      <c r="I45" s="36">
        <f ca="1">281.90806/а*а1</f>
        <v>225.83456077634764</v>
      </c>
      <c r="J45" s="36"/>
      <c r="K45" s="186">
        <f ca="1">296.134/а*а1</f>
        <v>237.23086108621001</v>
      </c>
      <c r="L45" s="36"/>
      <c r="M45" s="36"/>
      <c r="N45" s="36"/>
      <c r="O45" s="186">
        <f ca="1">C45/а*а2</f>
        <v>31.834251115669563</v>
      </c>
      <c r="P45" s="36"/>
      <c r="Q45" s="186">
        <f ca="1">E45/а*а2</f>
        <v>31.107038711649555</v>
      </c>
      <c r="R45" s="36"/>
      <c r="S45" s="36"/>
      <c r="T45" s="36"/>
      <c r="U45" s="186">
        <f ca="1">C45/а*а3</f>
        <v>24.239248107982739</v>
      </c>
      <c r="V45" s="12"/>
      <c r="W45" s="188">
        <v>25.492999999999999</v>
      </c>
      <c r="X45" s="12"/>
      <c r="Y45" s="12"/>
      <c r="Z45" s="12"/>
    </row>
    <row r="46" spans="1:26">
      <c r="B46" s="50"/>
      <c r="C46" s="50"/>
    </row>
    <row r="47" spans="1:26" ht="15.6">
      <c r="B47" s="198" t="s">
        <v>82</v>
      </c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6"/>
      <c r="P47" s="6"/>
      <c r="Q47" s="6"/>
      <c r="R47" s="6"/>
    </row>
    <row r="48" spans="1:26">
      <c r="B48" s="50"/>
      <c r="C48" s="50"/>
    </row>
    <row r="49" spans="2:4">
      <c r="B49" s="50"/>
      <c r="C49" s="50"/>
    </row>
    <row r="50" spans="2:4" ht="54.75" customHeight="1">
      <c r="B50" s="51" t="s">
        <v>81</v>
      </c>
      <c r="C50" s="51"/>
      <c r="D50" s="1"/>
    </row>
    <row r="51" spans="2:4">
      <c r="B51" s="51"/>
      <c r="C51" s="51"/>
      <c r="D51" s="1"/>
    </row>
    <row r="52" spans="2:4">
      <c r="B52" s="51"/>
      <c r="C52" s="51"/>
      <c r="D52" s="1"/>
    </row>
    <row r="53" spans="2:4">
      <c r="B53" s="51"/>
      <c r="C53" s="51"/>
    </row>
    <row r="54" spans="2:4">
      <c r="B54" s="50"/>
      <c r="C54" s="50"/>
    </row>
    <row r="55" spans="2:4">
      <c r="B55" s="50"/>
      <c r="C55" s="50"/>
    </row>
    <row r="56" spans="2:4">
      <c r="B56" s="50"/>
      <c r="C56" s="50"/>
    </row>
  </sheetData>
  <mergeCells count="12">
    <mergeCell ref="B1:L3"/>
    <mergeCell ref="U4:W4"/>
    <mergeCell ref="Q5:R5"/>
    <mergeCell ref="W5:X5"/>
    <mergeCell ref="U5:V5"/>
    <mergeCell ref="B47:N47"/>
    <mergeCell ref="C5:D5"/>
    <mergeCell ref="I5:J5"/>
    <mergeCell ref="O5:P5"/>
    <mergeCell ref="A5:A6"/>
    <mergeCell ref="E5:F5"/>
    <mergeCell ref="K5:L5"/>
  </mergeCells>
  <phoneticPr fontId="14" type="noConversion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tabSelected="1" zoomScale="125" zoomScaleNormal="12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49" sqref="K49"/>
    </sheetView>
  </sheetViews>
  <sheetFormatPr defaultRowHeight="14.4"/>
  <cols>
    <col min="1" max="1" width="6.33203125" style="4" customWidth="1"/>
    <col min="2" max="2" width="24.88671875" customWidth="1"/>
    <col min="3" max="3" width="6.5546875" customWidth="1"/>
    <col min="4" max="4" width="6.44140625" customWidth="1"/>
    <col min="5" max="5" width="6.5546875" customWidth="1"/>
    <col min="6" max="6" width="5.44140625" customWidth="1"/>
    <col min="7" max="7" width="7" customWidth="1"/>
    <col min="8" max="8" width="7.44140625" customWidth="1"/>
    <col min="9" max="12" width="6.5546875" customWidth="1"/>
    <col min="13" max="13" width="7" customWidth="1"/>
    <col min="14" max="14" width="7.5546875" customWidth="1"/>
    <col min="15" max="18" width="6.5546875" customWidth="1"/>
    <col min="19" max="20" width="7.109375" customWidth="1"/>
    <col min="21" max="24" width="6.5546875" customWidth="1"/>
    <col min="25" max="25" width="7.33203125" customWidth="1"/>
    <col min="26" max="26" width="7.5546875" customWidth="1"/>
  </cols>
  <sheetData>
    <row r="1" spans="1:26" ht="15" customHeight="1">
      <c r="A1" s="2"/>
      <c r="B1" s="208" t="s">
        <v>223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</row>
    <row r="2" spans="1:26" ht="15.6">
      <c r="A2" s="3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</row>
    <row r="3" spans="1:26" ht="15.6">
      <c r="A3" s="3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</row>
    <row r="4" spans="1:26" ht="15" customHeight="1">
      <c r="A4" s="3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U4" s="206"/>
      <c r="V4" s="206"/>
      <c r="W4" s="206"/>
    </row>
    <row r="5" spans="1:26" s="1" customFormat="1" ht="37.5" customHeight="1">
      <c r="A5" s="201" t="s">
        <v>0</v>
      </c>
      <c r="B5" s="42" t="s">
        <v>1</v>
      </c>
      <c r="C5" s="207" t="s">
        <v>2</v>
      </c>
      <c r="D5" s="207"/>
      <c r="E5" s="207" t="s">
        <v>77</v>
      </c>
      <c r="F5" s="207"/>
      <c r="G5" s="42" t="s">
        <v>66</v>
      </c>
      <c r="H5" s="42" t="s">
        <v>70</v>
      </c>
      <c r="I5" s="207" t="s">
        <v>3</v>
      </c>
      <c r="J5" s="207"/>
      <c r="K5" s="207" t="s">
        <v>78</v>
      </c>
      <c r="L5" s="207"/>
      <c r="M5" s="42" t="s">
        <v>67</v>
      </c>
      <c r="N5" s="42" t="s">
        <v>71</v>
      </c>
      <c r="O5" s="207" t="s">
        <v>4</v>
      </c>
      <c r="P5" s="207"/>
      <c r="Q5" s="207" t="s">
        <v>79</v>
      </c>
      <c r="R5" s="207"/>
      <c r="S5" s="42" t="s">
        <v>68</v>
      </c>
      <c r="T5" s="42" t="s">
        <v>72</v>
      </c>
      <c r="U5" s="207" t="s">
        <v>5</v>
      </c>
      <c r="V5" s="207"/>
      <c r="W5" s="207" t="s">
        <v>80</v>
      </c>
      <c r="X5" s="207"/>
      <c r="Y5" s="42" t="s">
        <v>69</v>
      </c>
      <c r="Z5" s="42" t="s">
        <v>73</v>
      </c>
    </row>
    <row r="6" spans="1:26" ht="17.25" customHeight="1">
      <c r="A6" s="202"/>
      <c r="B6" s="12"/>
      <c r="C6" s="56" t="s">
        <v>6</v>
      </c>
      <c r="D6" s="42" t="s">
        <v>7</v>
      </c>
      <c r="E6" s="42" t="s">
        <v>6</v>
      </c>
      <c r="F6" s="42" t="s">
        <v>7</v>
      </c>
      <c r="G6" s="42" t="s">
        <v>6</v>
      </c>
      <c r="H6" s="42" t="s">
        <v>65</v>
      </c>
      <c r="I6" s="42" t="s">
        <v>6</v>
      </c>
      <c r="J6" s="42" t="s">
        <v>7</v>
      </c>
      <c r="K6" s="56" t="s">
        <v>6</v>
      </c>
      <c r="L6" s="42" t="s">
        <v>7</v>
      </c>
      <c r="M6" s="42" t="s">
        <v>6</v>
      </c>
      <c r="N6" s="42" t="s">
        <v>65</v>
      </c>
      <c r="O6" s="42" t="s">
        <v>6</v>
      </c>
      <c r="P6" s="42" t="s">
        <v>7</v>
      </c>
      <c r="Q6" s="56" t="s">
        <v>6</v>
      </c>
      <c r="R6" s="42" t="s">
        <v>7</v>
      </c>
      <c r="S6" s="42" t="s">
        <v>6</v>
      </c>
      <c r="T6" s="42" t="s">
        <v>65</v>
      </c>
      <c r="U6" s="42" t="s">
        <v>6</v>
      </c>
      <c r="V6" s="42" t="s">
        <v>7</v>
      </c>
      <c r="W6" s="56" t="s">
        <v>6</v>
      </c>
      <c r="X6" s="12" t="s">
        <v>7</v>
      </c>
      <c r="Y6" s="42" t="s">
        <v>6</v>
      </c>
      <c r="Z6" s="48" t="s">
        <v>65</v>
      </c>
    </row>
    <row r="7" spans="1:26" ht="10.5" customHeight="1">
      <c r="A7" s="156">
        <v>1</v>
      </c>
      <c r="B7" s="157">
        <v>2</v>
      </c>
      <c r="C7" s="158">
        <v>3</v>
      </c>
      <c r="D7" s="158">
        <v>4</v>
      </c>
      <c r="E7" s="158">
        <v>5</v>
      </c>
      <c r="F7" s="158">
        <v>6</v>
      </c>
      <c r="G7" s="158">
        <v>7</v>
      </c>
      <c r="H7" s="159">
        <v>8</v>
      </c>
      <c r="I7" s="158">
        <v>9</v>
      </c>
      <c r="J7" s="158">
        <v>10</v>
      </c>
      <c r="K7" s="158">
        <v>11</v>
      </c>
      <c r="L7" s="158">
        <v>12</v>
      </c>
      <c r="M7" s="158">
        <v>13</v>
      </c>
      <c r="N7" s="158">
        <v>14</v>
      </c>
      <c r="O7" s="160">
        <v>15</v>
      </c>
      <c r="P7" s="158">
        <v>16</v>
      </c>
      <c r="Q7" s="160">
        <v>17</v>
      </c>
      <c r="R7" s="158">
        <v>18</v>
      </c>
      <c r="S7" s="158">
        <v>19</v>
      </c>
      <c r="T7" s="158">
        <v>20</v>
      </c>
      <c r="U7" s="160">
        <v>21</v>
      </c>
      <c r="V7" s="158">
        <v>22</v>
      </c>
      <c r="W7" s="158">
        <v>23</v>
      </c>
      <c r="X7" s="158">
        <v>24</v>
      </c>
      <c r="Y7" s="158">
        <v>25</v>
      </c>
      <c r="Z7" s="161">
        <v>26</v>
      </c>
    </row>
    <row r="8" spans="1:26" ht="10.5" customHeight="1">
      <c r="A8" s="7">
        <v>1</v>
      </c>
      <c r="B8" s="14" t="s">
        <v>8</v>
      </c>
      <c r="C8" s="12">
        <f>C9+C21</f>
        <v>36488.11</v>
      </c>
      <c r="D8" s="24">
        <f t="shared" ref="D8:D35" ca="1" si="0">C8/в</f>
        <v>144.95651337572184</v>
      </c>
      <c r="E8" s="24">
        <f>E9+E21</f>
        <v>42152.360270000005</v>
      </c>
      <c r="F8" s="24">
        <f t="shared" ref="F8:F35" ca="1" si="1">E8/в</f>
        <v>167.4589112808666</v>
      </c>
      <c r="G8" s="24">
        <f>E8-C8</f>
        <v>5664.2502700000041</v>
      </c>
      <c r="H8" s="145">
        <f>G8/C8*100</f>
        <v>15.523550740227442</v>
      </c>
      <c r="I8" s="24">
        <f t="shared" ref="I8:I35" ca="1" si="2">C8/в*в1</f>
        <v>29230.367856133878</v>
      </c>
      <c r="J8" s="24">
        <f t="shared" ref="J8:J35" ca="1" si="3">I8/в1</f>
        <v>144.95651337572184</v>
      </c>
      <c r="K8" s="24">
        <f>K9+K21</f>
        <v>33249.417395849392</v>
      </c>
      <c r="L8" s="24">
        <f t="shared" ref="L8:L34" ca="1" si="4">K8/в1</f>
        <v>164.88740891657994</v>
      </c>
      <c r="M8" s="24">
        <f>K8-I8</f>
        <v>4019.0495397155137</v>
      </c>
      <c r="N8" s="24">
        <f>M8/I8*100</f>
        <v>13.749568802885017</v>
      </c>
      <c r="O8" s="150">
        <f t="shared" ref="O8:O35" ca="1" si="5">C8/в*в2</f>
        <v>4120.3917918351608</v>
      </c>
      <c r="P8" s="24">
        <f t="shared" ref="P8:P34" ca="1" si="6">O8/в2</f>
        <v>144.95651337572184</v>
      </c>
      <c r="Q8" s="150">
        <f>Q9+Q21</f>
        <v>5541.4610648771559</v>
      </c>
      <c r="R8" s="24">
        <f t="shared" ref="R8:R34" ca="1" si="7">Q8/в2</f>
        <v>194.95012017149526</v>
      </c>
      <c r="S8" s="24">
        <f>Q8-O8</f>
        <v>1421.0692730419951</v>
      </c>
      <c r="T8" s="24">
        <f>S8/O8*100</f>
        <v>34.488692940752415</v>
      </c>
      <c r="U8" s="150">
        <f t="shared" ref="U8:U34" ca="1" si="8">C8/в*в3</f>
        <v>3137.3503520309641</v>
      </c>
      <c r="V8" s="24">
        <f t="shared" ref="V8:V34" ca="1" si="9">U8/в3</f>
        <v>144.95651337572184</v>
      </c>
      <c r="W8" s="24">
        <f>W9+W21</f>
        <v>3361.4818092734549</v>
      </c>
      <c r="X8" s="24">
        <f ca="1">W8/а3</f>
        <v>155.31216733023132</v>
      </c>
      <c r="Y8" s="24">
        <f>W8-U8</f>
        <v>224.1314572424908</v>
      </c>
      <c r="Z8" s="24">
        <f>Y8/U8*100</f>
        <v>7.1439728463032273</v>
      </c>
    </row>
    <row r="9" spans="1:26" ht="10.5" customHeight="1">
      <c r="A9" s="7" t="s">
        <v>37</v>
      </c>
      <c r="B9" s="15" t="s">
        <v>9</v>
      </c>
      <c r="C9" s="29">
        <f>C11+C12+C15+C16+C17</f>
        <v>34755.24</v>
      </c>
      <c r="D9" s="24">
        <f t="shared" ca="1" si="0"/>
        <v>138.07233128644981</v>
      </c>
      <c r="E9" s="24">
        <f>E11+E12+E15+E16+E17</f>
        <v>37190.960270000003</v>
      </c>
      <c r="F9" s="24">
        <f t="shared" ca="1" si="1"/>
        <v>147.74873047231534</v>
      </c>
      <c r="G9" s="24">
        <f>E9-C9</f>
        <v>2435.7202700000053</v>
      </c>
      <c r="H9" s="145">
        <f>G9/C9*100</f>
        <v>7.0082101864352122</v>
      </c>
      <c r="I9" s="24">
        <f t="shared" ca="1" si="2"/>
        <v>27842.177907494202</v>
      </c>
      <c r="J9" s="24">
        <f t="shared" ca="1" si="3"/>
        <v>138.07233128644981</v>
      </c>
      <c r="K9" s="24">
        <f>K11+K12+K15+K16+K17</f>
        <v>29335.907964559672</v>
      </c>
      <c r="L9" s="24">
        <f t="shared" ca="1" si="4"/>
        <v>145.47989803560694</v>
      </c>
      <c r="M9" s="24">
        <f>K9-I9</f>
        <v>1493.7300570654697</v>
      </c>
      <c r="N9" s="24">
        <f>M9/I9*100</f>
        <v>5.3649899875950675</v>
      </c>
      <c r="O9" s="150">
        <f t="shared" ca="1" si="5"/>
        <v>3924.7087782639614</v>
      </c>
      <c r="P9" s="24">
        <f t="shared" ca="1" si="6"/>
        <v>138.07233128644981</v>
      </c>
      <c r="Q9" s="150">
        <f>Q11+Q12+Q15+Q16+Q17</f>
        <v>4889.2222637477043</v>
      </c>
      <c r="R9" s="24">
        <f t="shared" ca="1" si="7"/>
        <v>172.00418025203516</v>
      </c>
      <c r="S9" s="24">
        <f>Q9-O9</f>
        <v>964.5134854837429</v>
      </c>
      <c r="T9" s="24">
        <f>S9/O9*100</f>
        <v>24.575415399620596</v>
      </c>
      <c r="U9" s="150">
        <f t="shared" ca="1" si="8"/>
        <v>2988.3533142418351</v>
      </c>
      <c r="V9" s="24">
        <f t="shared" ca="1" si="9"/>
        <v>138.07233128644981</v>
      </c>
      <c r="W9" s="24">
        <f>W11+W12+W15+W16+W17</f>
        <v>2965.8300416926281</v>
      </c>
      <c r="X9" s="24">
        <f ca="1">W9/а3</f>
        <v>137.03167764812389</v>
      </c>
      <c r="Y9" s="24">
        <f>W9-U9</f>
        <v>-22.523272549206922</v>
      </c>
      <c r="Z9" s="24">
        <f>Y9/U9*100</f>
        <v>-0.75370179429138973</v>
      </c>
    </row>
    <row r="10" spans="1:26" ht="10.5" customHeight="1">
      <c r="A10" s="8" t="s">
        <v>38</v>
      </c>
      <c r="B10" s="16" t="s">
        <v>10</v>
      </c>
      <c r="C10" s="12"/>
      <c r="D10" s="24">
        <f t="shared" ca="1" si="0"/>
        <v>0</v>
      </c>
      <c r="E10" s="24">
        <v>0</v>
      </c>
      <c r="F10" s="24">
        <f t="shared" ca="1" si="1"/>
        <v>0</v>
      </c>
      <c r="G10" s="12"/>
      <c r="H10" s="144"/>
      <c r="I10" s="24">
        <f t="shared" ca="1" si="2"/>
        <v>0</v>
      </c>
      <c r="J10" s="24">
        <f t="shared" ca="1" si="3"/>
        <v>0</v>
      </c>
      <c r="K10" s="24"/>
      <c r="L10" s="24">
        <f t="shared" ca="1" si="4"/>
        <v>0</v>
      </c>
      <c r="M10" s="12"/>
      <c r="N10" s="12"/>
      <c r="O10" s="150">
        <f t="shared" ca="1" si="5"/>
        <v>0</v>
      </c>
      <c r="P10" s="24">
        <f t="shared" ca="1" si="6"/>
        <v>0</v>
      </c>
      <c r="Q10" s="150"/>
      <c r="R10" s="24">
        <f t="shared" ca="1" si="7"/>
        <v>0</v>
      </c>
      <c r="S10" s="12"/>
      <c r="T10" s="12"/>
      <c r="U10" s="150">
        <f t="shared" ca="1" si="8"/>
        <v>0</v>
      </c>
      <c r="V10" s="24">
        <f t="shared" ca="1" si="9"/>
        <v>0</v>
      </c>
      <c r="W10" s="24"/>
      <c r="X10" s="24"/>
      <c r="Y10" s="12"/>
      <c r="Z10" s="12"/>
    </row>
    <row r="11" spans="1:26" ht="10.5" customHeight="1">
      <c r="A11" s="8" t="s">
        <v>39</v>
      </c>
      <c r="B11" s="16" t="s">
        <v>11</v>
      </c>
      <c r="C11" s="23">
        <f>720.73+548.78+4840.73</f>
        <v>6110.24</v>
      </c>
      <c r="D11" s="24">
        <f t="shared" ca="1" si="0"/>
        <v>24.274183735163881</v>
      </c>
      <c r="E11" s="24">
        <v>6633.97</v>
      </c>
      <c r="F11" s="24">
        <f t="shared" ca="1" si="1"/>
        <v>26.354808759322896</v>
      </c>
      <c r="G11" s="12">
        <f>E11-C11</f>
        <v>523.73000000000047</v>
      </c>
      <c r="H11" s="145">
        <f>G11/C11*100</f>
        <v>8.5713490795778977</v>
      </c>
      <c r="I11" s="24">
        <f ca="1">C11/в*в1</f>
        <v>4894.8702163324833</v>
      </c>
      <c r="J11" s="24">
        <f t="shared" ca="1" si="3"/>
        <v>24.274183735163881</v>
      </c>
      <c r="K11" s="24">
        <f ca="1">E11/г*г1</f>
        <v>5232.8181887961218</v>
      </c>
      <c r="L11" s="24">
        <f t="shared" ca="1" si="4"/>
        <v>25.950103793092389</v>
      </c>
      <c r="M11" s="24">
        <f>K11-I11</f>
        <v>337.94797246363851</v>
      </c>
      <c r="N11" s="24">
        <f>M11/I11*100</f>
        <v>6.9041252888794356</v>
      </c>
      <c r="O11" s="150">
        <f ca="1">C11/в*в2</f>
        <v>689.99415815570796</v>
      </c>
      <c r="P11" s="24">
        <f t="shared" ca="1" si="6"/>
        <v>24.274183735163881</v>
      </c>
      <c r="Q11" s="24">
        <f t="shared" ref="Q11:Q35" ca="1" si="10">E11/г*г2</f>
        <v>872.11928881540439</v>
      </c>
      <c r="R11" s="24">
        <f t="shared" ca="1" si="7"/>
        <v>30.681395784960024</v>
      </c>
      <c r="S11" s="24">
        <f>Q11-O11</f>
        <v>182.12513065969642</v>
      </c>
      <c r="T11" s="24">
        <f>S11/O11*100</f>
        <v>26.395169945568881</v>
      </c>
      <c r="U11" s="150">
        <f t="shared" ca="1" si="8"/>
        <v>525.37562551180861</v>
      </c>
      <c r="V11" s="24">
        <f t="shared" ca="1" si="9"/>
        <v>24.274183735163881</v>
      </c>
      <c r="W11" s="150">
        <f ca="1">E11/г*г3</f>
        <v>529.0325223884746</v>
      </c>
      <c r="X11" s="24">
        <f ca="1">W11/а3</f>
        <v>24.44314510751202</v>
      </c>
      <c r="Y11" s="24">
        <f>W11-U11</f>
        <v>3.6568968766659964</v>
      </c>
      <c r="Z11" s="24">
        <f>Y11/U11*100</f>
        <v>0.69605377544942881</v>
      </c>
    </row>
    <row r="12" spans="1:26" ht="30.75" customHeight="1">
      <c r="A12" s="8" t="s">
        <v>40</v>
      </c>
      <c r="B12" s="17" t="s">
        <v>12</v>
      </c>
      <c r="C12" s="23">
        <f>15619.77+2289.34+1743.15</f>
        <v>19652.260000000002</v>
      </c>
      <c r="D12" s="24">
        <f t="shared" ca="1" si="0"/>
        <v>78.072640362933655</v>
      </c>
      <c r="E12" s="24">
        <v>18866.63</v>
      </c>
      <c r="F12" s="24">
        <f t="shared" ca="1" si="1"/>
        <v>74.951563782004456</v>
      </c>
      <c r="G12" s="24">
        <f>E12-C12</f>
        <v>-785.63000000000102</v>
      </c>
      <c r="H12" s="145">
        <f>G12/C12*100</f>
        <v>-3.997657266899588</v>
      </c>
      <c r="I12" s="24">
        <f t="shared" ca="1" si="2"/>
        <v>15743.28703252609</v>
      </c>
      <c r="J12" s="24">
        <f t="shared" ca="1" si="3"/>
        <v>78.072640362933655</v>
      </c>
      <c r="K12" s="24">
        <f ca="1">E12/г*г1</f>
        <v>14881.834651842952</v>
      </c>
      <c r="L12" s="24">
        <f t="shared" ca="1" si="4"/>
        <v>73.800606081406869</v>
      </c>
      <c r="M12" s="24">
        <f>K12-I12</f>
        <v>-861.45238068313847</v>
      </c>
      <c r="N12" s="24">
        <f>M12/I12*100</f>
        <v>-5.4718711467519627</v>
      </c>
      <c r="O12" s="150">
        <f ca="1">C12/в*в2</f>
        <v>2219.2163637691965</v>
      </c>
      <c r="P12" s="24">
        <f t="shared" ca="1" si="6"/>
        <v>78.072640362933655</v>
      </c>
      <c r="Q12" s="24">
        <f t="shared" ca="1" si="10"/>
        <v>2480.2572121886856</v>
      </c>
      <c r="R12" s="24">
        <f t="shared" ca="1" si="7"/>
        <v>87.256129008482162</v>
      </c>
      <c r="S12" s="24">
        <f>Q12-O12</f>
        <v>261.04084841948907</v>
      </c>
      <c r="T12" s="24">
        <f>S12/O12*100</f>
        <v>11.762748900072454</v>
      </c>
      <c r="U12" s="150">
        <f t="shared" ca="1" si="8"/>
        <v>1689.7566037047147</v>
      </c>
      <c r="V12" s="24">
        <f t="shared" ca="1" si="9"/>
        <v>78.072640362933655</v>
      </c>
      <c r="W12" s="150">
        <f ca="1">E12/г*г3</f>
        <v>1504.538135968367</v>
      </c>
      <c r="X12" s="24">
        <f ca="1">W12/а3</f>
        <v>69.514902054085198</v>
      </c>
      <c r="Y12" s="24">
        <f>W12-U12</f>
        <v>-185.21846773634775</v>
      </c>
      <c r="Z12" s="24">
        <f>Y12/U12*100</f>
        <v>-10.961251302718075</v>
      </c>
    </row>
    <row r="13" spans="1:26" ht="26.25" customHeight="1">
      <c r="A13" s="8" t="s">
        <v>41</v>
      </c>
      <c r="B13" s="17" t="s">
        <v>13</v>
      </c>
      <c r="C13" s="54">
        <v>0</v>
      </c>
      <c r="D13" s="24">
        <f t="shared" ca="1" si="0"/>
        <v>0</v>
      </c>
      <c r="E13" s="24">
        <v>0</v>
      </c>
      <c r="F13" s="24">
        <f t="shared" ca="1" si="1"/>
        <v>0</v>
      </c>
      <c r="G13" s="12">
        <v>0</v>
      </c>
      <c r="H13" s="144">
        <v>0</v>
      </c>
      <c r="I13" s="24">
        <f t="shared" ca="1" si="2"/>
        <v>0</v>
      </c>
      <c r="J13" s="24">
        <f t="shared" ca="1" si="3"/>
        <v>0</v>
      </c>
      <c r="K13" s="54">
        <v>0</v>
      </c>
      <c r="L13" s="24">
        <f t="shared" ca="1" si="4"/>
        <v>0</v>
      </c>
      <c r="M13" s="12">
        <v>0</v>
      </c>
      <c r="N13" s="12">
        <v>0</v>
      </c>
      <c r="O13" s="150">
        <f t="shared" ca="1" si="5"/>
        <v>0</v>
      </c>
      <c r="P13" s="24">
        <f t="shared" ca="1" si="6"/>
        <v>0</v>
      </c>
      <c r="Q13" s="24">
        <f t="shared" ca="1" si="10"/>
        <v>0</v>
      </c>
      <c r="R13" s="24">
        <f t="shared" ca="1" si="7"/>
        <v>0</v>
      </c>
      <c r="S13" s="12">
        <v>0</v>
      </c>
      <c r="T13" s="12">
        <v>0</v>
      </c>
      <c r="U13" s="150">
        <f t="shared" ca="1" si="8"/>
        <v>0</v>
      </c>
      <c r="V13" s="24">
        <f t="shared" ca="1" si="9"/>
        <v>0</v>
      </c>
      <c r="W13" s="54">
        <v>0</v>
      </c>
      <c r="X13" s="12">
        <v>0</v>
      </c>
      <c r="Y13" s="12">
        <v>0</v>
      </c>
      <c r="Z13" s="12">
        <v>0</v>
      </c>
    </row>
    <row r="14" spans="1:26" ht="19.5" customHeight="1">
      <c r="A14" s="8" t="s">
        <v>42</v>
      </c>
      <c r="B14" s="17" t="s">
        <v>14</v>
      </c>
      <c r="C14" s="54">
        <v>0</v>
      </c>
      <c r="D14" s="24">
        <f t="shared" ca="1" si="0"/>
        <v>0</v>
      </c>
      <c r="E14" s="24">
        <v>0</v>
      </c>
      <c r="F14" s="24">
        <f t="shared" ca="1" si="1"/>
        <v>0</v>
      </c>
      <c r="G14" s="12">
        <v>0</v>
      </c>
      <c r="H14" s="144">
        <v>0</v>
      </c>
      <c r="I14" s="24">
        <f t="shared" ca="1" si="2"/>
        <v>0</v>
      </c>
      <c r="J14" s="24">
        <f t="shared" ca="1" si="3"/>
        <v>0</v>
      </c>
      <c r="K14" s="54">
        <v>0</v>
      </c>
      <c r="L14" s="24">
        <f t="shared" ca="1" si="4"/>
        <v>0</v>
      </c>
      <c r="M14" s="12">
        <v>0</v>
      </c>
      <c r="N14" s="12">
        <v>0</v>
      </c>
      <c r="O14" s="150">
        <f t="shared" ca="1" si="5"/>
        <v>0</v>
      </c>
      <c r="P14" s="24">
        <f t="shared" ca="1" si="6"/>
        <v>0</v>
      </c>
      <c r="Q14" s="24">
        <f t="shared" ca="1" si="10"/>
        <v>0</v>
      </c>
      <c r="R14" s="24">
        <f t="shared" ca="1" si="7"/>
        <v>0</v>
      </c>
      <c r="S14" s="12">
        <v>0</v>
      </c>
      <c r="T14" s="12">
        <v>0</v>
      </c>
      <c r="U14" s="150">
        <f t="shared" ca="1" si="8"/>
        <v>0</v>
      </c>
      <c r="V14" s="24">
        <f t="shared" ca="1" si="9"/>
        <v>0</v>
      </c>
      <c r="W14" s="54">
        <v>0</v>
      </c>
      <c r="X14" s="12">
        <v>0</v>
      </c>
      <c r="Y14" s="12">
        <v>0</v>
      </c>
      <c r="Z14" s="12">
        <v>0</v>
      </c>
    </row>
    <row r="15" spans="1:26" ht="10.5" customHeight="1">
      <c r="A15" s="8" t="s">
        <v>43</v>
      </c>
      <c r="B15" s="17" t="s">
        <v>15</v>
      </c>
      <c r="C15" s="27">
        <f>0.16+0.21+1.47</f>
        <v>1.8399999999999999</v>
      </c>
      <c r="D15" s="24">
        <f t="shared" ca="1" si="0"/>
        <v>7.3097780238912937E-3</v>
      </c>
      <c r="E15" s="24">
        <f>2607.41</f>
        <v>2607.41</v>
      </c>
      <c r="F15" s="24">
        <f t="shared" ca="1" si="1"/>
        <v>10.358471911562173</v>
      </c>
      <c r="G15" s="12">
        <f>E15-C15</f>
        <v>2605.5699999999997</v>
      </c>
      <c r="H15" s="145">
        <f>G15/C15*100</f>
        <v>141607.0652173913</v>
      </c>
      <c r="I15" s="24">
        <f t="shared" ca="1" si="2"/>
        <v>1.4740110368908208</v>
      </c>
      <c r="J15" s="24">
        <f t="shared" ca="1" si="3"/>
        <v>7.3097780238912937E-3</v>
      </c>
      <c r="K15" s="24">
        <f t="shared" ref="K15:K24" ca="1" si="11">E15/г*г1</f>
        <v>2056.7024683031273</v>
      </c>
      <c r="L15" s="24">
        <f ca="1">K15/в1</f>
        <v>10.199407011359266</v>
      </c>
      <c r="M15" s="24">
        <f>K15-I15</f>
        <v>2055.2284572662365</v>
      </c>
      <c r="N15" s="24">
        <f>M15/I15*100</f>
        <v>139431.00871221401</v>
      </c>
      <c r="O15" s="150">
        <f t="shared" ca="1" si="5"/>
        <v>0.20778058652467049</v>
      </c>
      <c r="P15" s="24">
        <f t="shared" ca="1" si="6"/>
        <v>7.3097780238912937E-3</v>
      </c>
      <c r="Q15" s="24">
        <f t="shared" ca="1" si="10"/>
        <v>342.77703318679062</v>
      </c>
      <c r="R15" s="24">
        <f t="shared" ca="1" si="7"/>
        <v>12.058990044221275</v>
      </c>
      <c r="S15" s="24">
        <f>Q15-O15</f>
        <v>342.56925260026594</v>
      </c>
      <c r="T15" s="24">
        <f>S15/O15*100</f>
        <v>164870.67359374865</v>
      </c>
      <c r="U15" s="150">
        <f t="shared" ca="1" si="8"/>
        <v>0.15820837658450859</v>
      </c>
      <c r="V15" s="24">
        <f t="shared" ca="1" si="9"/>
        <v>7.3097780238912937E-3</v>
      </c>
      <c r="W15" s="150">
        <f ca="1">E15/г*г3</f>
        <v>207.9304985100826</v>
      </c>
      <c r="X15" s="24">
        <f ca="1">W15/а3</f>
        <v>9.6071132345756656</v>
      </c>
      <c r="Y15" s="24">
        <f t="shared" ref="Y15:Y33" si="12">W15-U15</f>
        <v>207.7722901334981</v>
      </c>
      <c r="Z15" s="24">
        <f t="shared" ref="Z15:Z33" si="13">Y15/U15*100</f>
        <v>131328.24861679459</v>
      </c>
    </row>
    <row r="16" spans="1:26" s="172" customFormat="1" ht="10.5" customHeight="1">
      <c r="A16" s="7" t="s">
        <v>44</v>
      </c>
      <c r="B16" s="15" t="s">
        <v>16</v>
      </c>
      <c r="C16" s="23">
        <f>5065.41+714.04+543.68</f>
        <v>6323.13</v>
      </c>
      <c r="D16" s="165">
        <f t="shared" ca="1" si="0"/>
        <v>25.119932997938999</v>
      </c>
      <c r="E16" s="24">
        <f>5427.4</f>
        <v>5427.4</v>
      </c>
      <c r="F16" s="165">
        <f t="shared" ca="1" si="1"/>
        <v>21.561461547210655</v>
      </c>
      <c r="G16" s="167">
        <f t="shared" ref="G16:G28" si="14">E16-C16</f>
        <v>-895.73000000000047</v>
      </c>
      <c r="H16" s="168">
        <f t="shared" ref="H16:H28" si="15">G16/C16*100</f>
        <v>-14.165927317641744</v>
      </c>
      <c r="I16" s="165">
        <f t="shared" ca="1" si="2"/>
        <v>5065.4148954866614</v>
      </c>
      <c r="J16" s="165">
        <f t="shared" ca="1" si="3"/>
        <v>25.119932997938999</v>
      </c>
      <c r="K16" s="162">
        <f t="shared" ca="1" si="11"/>
        <v>4281.0862029632435</v>
      </c>
      <c r="L16" s="165">
        <f t="shared" ca="1" si="4"/>
        <v>21.230363315877163</v>
      </c>
      <c r="M16" s="165">
        <f t="shared" ref="M16:M28" si="16">K16-I16</f>
        <v>-784.32869252341789</v>
      </c>
      <c r="N16" s="165">
        <f t="shared" ref="N16:N28" si="17">M16/I16*100</f>
        <v>-15.483997040839895</v>
      </c>
      <c r="O16" s="170">
        <f t="shared" ca="1" si="5"/>
        <v>714.03459786507597</v>
      </c>
      <c r="P16" s="165">
        <f t="shared" ca="1" si="6"/>
        <v>25.119932997938999</v>
      </c>
      <c r="Q16" s="162">
        <f t="shared" ca="1" si="10"/>
        <v>713.50039691417442</v>
      </c>
      <c r="R16" s="165">
        <f t="shared" ca="1" si="7"/>
        <v>25.101139661965917</v>
      </c>
      <c r="S16" s="165">
        <f t="shared" ref="S16:S28" si="18">Q16-O16</f>
        <v>-0.53420095090154973</v>
      </c>
      <c r="T16" s="165">
        <f t="shared" ref="T16:T28" si="19">S16/O16*100</f>
        <v>-7.4814435112637551E-2</v>
      </c>
      <c r="U16" s="170">
        <f t="shared" ca="1" si="8"/>
        <v>543.68050664826296</v>
      </c>
      <c r="V16" s="165">
        <f t="shared" ca="1" si="9"/>
        <v>25.119932997938999</v>
      </c>
      <c r="W16" s="174">
        <f ca="1">E16/г*г3</f>
        <v>432.81340012258227</v>
      </c>
      <c r="X16" s="165">
        <f t="shared" ref="X16:X28" ca="1" si="20">W16/а3</f>
        <v>19.997486536193371</v>
      </c>
      <c r="Y16" s="165">
        <f t="shared" si="12"/>
        <v>-110.8671065256807</v>
      </c>
      <c r="Z16" s="165">
        <f t="shared" si="13"/>
        <v>-20.39195909545581</v>
      </c>
    </row>
    <row r="17" spans="1:26" s="172" customFormat="1" ht="10.5" customHeight="1">
      <c r="A17" s="7" t="s">
        <v>45</v>
      </c>
      <c r="B17" s="15" t="s">
        <v>17</v>
      </c>
      <c r="C17" s="173">
        <f>C18+C19+C20</f>
        <v>2667.7699999999995</v>
      </c>
      <c r="D17" s="165">
        <f t="shared" ca="1" si="0"/>
        <v>10.598264412389389</v>
      </c>
      <c r="E17" s="165">
        <f>E18+E19+E20</f>
        <v>3655.5502700000002</v>
      </c>
      <c r="F17" s="165">
        <f t="shared" ca="1" si="1"/>
        <v>14.522424472215157</v>
      </c>
      <c r="G17" s="165">
        <f t="shared" si="14"/>
        <v>987.78027000000066</v>
      </c>
      <c r="H17" s="168">
        <f t="shared" si="15"/>
        <v>37.026440435269933</v>
      </c>
      <c r="I17" s="165">
        <f t="shared" ca="1" si="2"/>
        <v>2137.1317521120786</v>
      </c>
      <c r="J17" s="165">
        <f t="shared" ca="1" si="3"/>
        <v>10.598264412389389</v>
      </c>
      <c r="K17" s="162">
        <f t="shared" ca="1" si="11"/>
        <v>2883.4664526542288</v>
      </c>
      <c r="L17" s="165">
        <f t="shared" ca="1" si="4"/>
        <v>14.299417833871257</v>
      </c>
      <c r="M17" s="165">
        <f t="shared" si="16"/>
        <v>746.33470054215013</v>
      </c>
      <c r="N17" s="165">
        <f t="shared" si="17"/>
        <v>34.922259697118093</v>
      </c>
      <c r="O17" s="170">
        <f t="shared" ca="1" si="5"/>
        <v>301.25587788745662</v>
      </c>
      <c r="P17" s="165">
        <f t="shared" ca="1" si="6"/>
        <v>10.598264412389389</v>
      </c>
      <c r="Q17" s="162">
        <f t="shared" ca="1" si="10"/>
        <v>480.56833264264975</v>
      </c>
      <c r="R17" s="165">
        <f t="shared" ca="1" si="7"/>
        <v>16.906525752405795</v>
      </c>
      <c r="S17" s="165">
        <f t="shared" si="18"/>
        <v>179.31245475519313</v>
      </c>
      <c r="T17" s="165">
        <f t="shared" si="19"/>
        <v>59.521645191660234</v>
      </c>
      <c r="U17" s="170">
        <f t="shared" ca="1" si="8"/>
        <v>229.38237000046436</v>
      </c>
      <c r="V17" s="165">
        <f t="shared" ca="1" si="9"/>
        <v>10.598264412389389</v>
      </c>
      <c r="W17" s="169">
        <f ca="1">W18+W19+W20</f>
        <v>291.5154847031219</v>
      </c>
      <c r="X17" s="165">
        <f>V17</f>
        <v>10.598264412389389</v>
      </c>
      <c r="Y17" s="165">
        <f t="shared" si="12"/>
        <v>62.133114702657537</v>
      </c>
      <c r="Z17" s="165">
        <f t="shared" si="13"/>
        <v>27.087136078736897</v>
      </c>
    </row>
    <row r="18" spans="1:26" ht="10.5" customHeight="1">
      <c r="A18" s="8" t="s">
        <v>46</v>
      </c>
      <c r="B18" s="16" t="s">
        <v>18</v>
      </c>
      <c r="C18" s="26">
        <v>0</v>
      </c>
      <c r="D18" s="24">
        <f t="shared" ca="1" si="0"/>
        <v>0</v>
      </c>
      <c r="E18" s="26">
        <f>E16*0.22</f>
        <v>1194.028</v>
      </c>
      <c r="F18" s="24">
        <f t="shared" ca="1" si="1"/>
        <v>4.7435215403863449</v>
      </c>
      <c r="G18" s="24">
        <f t="shared" si="14"/>
        <v>1194.028</v>
      </c>
      <c r="H18" s="145" t="e">
        <f t="shared" si="15"/>
        <v>#DIV/0!</v>
      </c>
      <c r="I18" s="24">
        <f t="shared" ca="1" si="2"/>
        <v>0</v>
      </c>
      <c r="J18" s="24">
        <f t="shared" ca="1" si="3"/>
        <v>0</v>
      </c>
      <c r="K18" s="24">
        <f t="shared" ca="1" si="11"/>
        <v>941.83896465191367</v>
      </c>
      <c r="L18" s="24">
        <f t="shared" ca="1" si="4"/>
        <v>4.6706799294929757</v>
      </c>
      <c r="M18" s="24">
        <f t="shared" si="16"/>
        <v>941.83896465191367</v>
      </c>
      <c r="N18" s="24" t="e">
        <f t="shared" si="17"/>
        <v>#DIV/0!</v>
      </c>
      <c r="O18" s="150">
        <f t="shared" ca="1" si="5"/>
        <v>0</v>
      </c>
      <c r="P18" s="24">
        <f t="shared" ca="1" si="6"/>
        <v>0</v>
      </c>
      <c r="Q18" s="24">
        <f t="shared" ca="1" si="10"/>
        <v>156.97008732111837</v>
      </c>
      <c r="R18" s="24">
        <f t="shared" ca="1" si="7"/>
        <v>5.5222507256325013</v>
      </c>
      <c r="S18" s="24">
        <f t="shared" si="18"/>
        <v>156.97008732111837</v>
      </c>
      <c r="T18" s="24" t="e">
        <f t="shared" si="19"/>
        <v>#DIV/0!</v>
      </c>
      <c r="U18" s="150">
        <f t="shared" ca="1" si="8"/>
        <v>0</v>
      </c>
      <c r="V18" s="24">
        <f t="shared" ca="1" si="9"/>
        <v>0</v>
      </c>
      <c r="W18" s="150">
        <f ca="1">E18/г*г3</f>
        <v>95.218948026968107</v>
      </c>
      <c r="X18" s="24">
        <f t="shared" ca="1" si="20"/>
        <v>4.3994470379625419</v>
      </c>
      <c r="Y18" s="24">
        <f t="shared" si="12"/>
        <v>95.218948026968107</v>
      </c>
      <c r="Z18" s="24" t="e">
        <f t="shared" si="13"/>
        <v>#DIV/0!</v>
      </c>
    </row>
    <row r="19" spans="1:26" ht="10.5" customHeight="1">
      <c r="A19" s="8" t="s">
        <v>47</v>
      </c>
      <c r="B19" s="16" t="s">
        <v>19</v>
      </c>
      <c r="C19" s="23">
        <f>1191.04+167.9+127.84</f>
        <v>1486.78</v>
      </c>
      <c r="D19" s="24">
        <f t="shared" ca="1" si="0"/>
        <v>5.9065390056310312</v>
      </c>
      <c r="E19" s="24">
        <v>2374.8722699999998</v>
      </c>
      <c r="F19" s="24">
        <f t="shared" ca="1" si="1"/>
        <v>9.4346680047797999</v>
      </c>
      <c r="G19" s="24">
        <f t="shared" si="14"/>
        <v>888.09226999999987</v>
      </c>
      <c r="H19" s="145">
        <f t="shared" si="15"/>
        <v>59.732594600411616</v>
      </c>
      <c r="I19" s="24">
        <f t="shared" ca="1" si="2"/>
        <v>1191.0489833850731</v>
      </c>
      <c r="J19" s="24">
        <f t="shared" ca="1" si="3"/>
        <v>5.9065390056310312</v>
      </c>
      <c r="K19" s="24">
        <f t="shared" ca="1" si="11"/>
        <v>1873.2787170462836</v>
      </c>
      <c r="L19" s="24">
        <f t="shared" ca="1" si="4"/>
        <v>9.2897890556992166</v>
      </c>
      <c r="M19" s="24">
        <f t="shared" si="16"/>
        <v>682.2297336612105</v>
      </c>
      <c r="N19" s="24">
        <f t="shared" si="17"/>
        <v>57.279737708372792</v>
      </c>
      <c r="O19" s="150">
        <f t="shared" ca="1" si="5"/>
        <v>167.89348936584219</v>
      </c>
      <c r="P19" s="24">
        <f t="shared" ca="1" si="6"/>
        <v>5.9065390056310312</v>
      </c>
      <c r="Q19" s="24">
        <f t="shared" ca="1" si="10"/>
        <v>312.20700653452229</v>
      </c>
      <c r="R19" s="24">
        <f t="shared" ca="1" si="7"/>
        <v>10.983528121863143</v>
      </c>
      <c r="S19" s="24">
        <f t="shared" si="18"/>
        <v>144.31351716868011</v>
      </c>
      <c r="T19" s="24">
        <f t="shared" si="19"/>
        <v>85.955398100172303</v>
      </c>
      <c r="U19" s="150">
        <f t="shared" ca="1" si="8"/>
        <v>127.8375272490846</v>
      </c>
      <c r="V19" s="24">
        <f t="shared" ca="1" si="9"/>
        <v>5.9065390056310312</v>
      </c>
      <c r="W19" s="150">
        <f ca="1">E19/г*г3</f>
        <v>189.38654641919433</v>
      </c>
      <c r="X19" s="24">
        <f t="shared" ca="1" si="20"/>
        <v>8.7503180610428561</v>
      </c>
      <c r="Y19" s="24">
        <f t="shared" si="12"/>
        <v>61.54901917010973</v>
      </c>
      <c r="Z19" s="24">
        <f t="shared" si="13"/>
        <v>48.146284189449901</v>
      </c>
    </row>
    <row r="20" spans="1:26" ht="10.5" customHeight="1">
      <c r="A20" s="8" t="s">
        <v>48</v>
      </c>
      <c r="B20" s="16" t="s">
        <v>20</v>
      </c>
      <c r="C20" s="27">
        <f>946.06+133.39+101.54</f>
        <v>1180.9899999999998</v>
      </c>
      <c r="D20" s="24">
        <f t="shared" ca="1" si="0"/>
        <v>4.6917254067583576</v>
      </c>
      <c r="E20" s="24">
        <v>86.65</v>
      </c>
      <c r="F20" s="24">
        <f t="shared" ca="1" si="1"/>
        <v>0.34423492704901121</v>
      </c>
      <c r="G20" s="24">
        <f t="shared" si="14"/>
        <v>-1094.3399999999997</v>
      </c>
      <c r="H20" s="145">
        <f t="shared" si="15"/>
        <v>-92.66293533391476</v>
      </c>
      <c r="I20" s="24">
        <f t="shared" ca="1" si="2"/>
        <v>946.0827687270056</v>
      </c>
      <c r="J20" s="24">
        <f t="shared" ca="1" si="3"/>
        <v>4.6917254067583576</v>
      </c>
      <c r="K20" s="24">
        <f t="shared" ca="1" si="11"/>
        <v>68.348770956031458</v>
      </c>
      <c r="L20" s="24">
        <f t="shared" ca="1" si="4"/>
        <v>0.33894884867906483</v>
      </c>
      <c r="M20" s="24">
        <f t="shared" si="16"/>
        <v>-877.73399777097416</v>
      </c>
      <c r="N20" s="24">
        <f t="shared" si="17"/>
        <v>-92.775603444506487</v>
      </c>
      <c r="O20" s="150">
        <f t="shared" ca="1" si="5"/>
        <v>133.36238852161446</v>
      </c>
      <c r="P20" s="24">
        <f t="shared" ca="1" si="6"/>
        <v>4.6917254067583585</v>
      </c>
      <c r="Q20" s="24">
        <f t="shared" ca="1" si="10"/>
        <v>11.391238787009105</v>
      </c>
      <c r="R20" s="24">
        <f t="shared" ca="1" si="7"/>
        <v>0.40074690491014975</v>
      </c>
      <c r="S20" s="24">
        <f t="shared" si="18"/>
        <v>-121.97114973460536</v>
      </c>
      <c r="T20" s="24">
        <f t="shared" si="19"/>
        <v>-91.45843223619012</v>
      </c>
      <c r="U20" s="150">
        <f t="shared" ca="1" si="8"/>
        <v>101.54484275137978</v>
      </c>
      <c r="V20" s="24">
        <f t="shared" ca="1" si="9"/>
        <v>4.6917254067583576</v>
      </c>
      <c r="W20" s="150">
        <f ca="1">E20/г*г3</f>
        <v>6.9099902569594569</v>
      </c>
      <c r="X20" s="24">
        <f t="shared" ca="1" si="20"/>
        <v>0.3192656167522489</v>
      </c>
      <c r="Y20" s="24">
        <f t="shared" si="12"/>
        <v>-94.634852494420315</v>
      </c>
      <c r="Z20" s="24">
        <f t="shared" si="13"/>
        <v>-93.195134218802494</v>
      </c>
    </row>
    <row r="21" spans="1:26" s="172" customFormat="1" ht="10.5" customHeight="1">
      <c r="A21" s="7" t="s">
        <v>49</v>
      </c>
      <c r="B21" s="15" t="s">
        <v>21</v>
      </c>
      <c r="C21" s="164">
        <f>C22+C23+C24</f>
        <v>1732.8700000000001</v>
      </c>
      <c r="D21" s="165">
        <f t="shared" ca="1" si="0"/>
        <v>6.8841820892720147</v>
      </c>
      <c r="E21" s="165">
        <f>E22+E23+E24</f>
        <v>4961.3999999999996</v>
      </c>
      <c r="F21" s="165">
        <f t="shared" ca="1" si="1"/>
        <v>19.710180808551229</v>
      </c>
      <c r="G21" s="167">
        <f t="shared" si="14"/>
        <v>3228.5299999999997</v>
      </c>
      <c r="H21" s="168">
        <f t="shared" si="15"/>
        <v>186.3111485570181</v>
      </c>
      <c r="I21" s="165">
        <f t="shared" ca="1" si="2"/>
        <v>1388.1899486396721</v>
      </c>
      <c r="J21" s="165">
        <f t="shared" ca="1" si="3"/>
        <v>6.8841820892720147</v>
      </c>
      <c r="K21" s="24">
        <f t="shared" ca="1" si="11"/>
        <v>3913.5094312897222</v>
      </c>
      <c r="L21" s="165">
        <f t="shared" ca="1" si="4"/>
        <v>19.407510880973017</v>
      </c>
      <c r="M21" s="165">
        <f t="shared" si="16"/>
        <v>2525.3194826500503</v>
      </c>
      <c r="N21" s="165">
        <f t="shared" si="17"/>
        <v>181.91454887889691</v>
      </c>
      <c r="O21" s="170">
        <f t="shared" ca="1" si="5"/>
        <v>195.68301357119881</v>
      </c>
      <c r="P21" s="165">
        <f t="shared" ca="1" si="6"/>
        <v>6.8841820892720147</v>
      </c>
      <c r="Q21" s="162">
        <f t="shared" ca="1" si="10"/>
        <v>652.23880112945142</v>
      </c>
      <c r="R21" s="165">
        <f t="shared" ca="1" si="7"/>
        <v>22.945939919460088</v>
      </c>
      <c r="S21" s="165">
        <f t="shared" si="18"/>
        <v>456.55578755825263</v>
      </c>
      <c r="T21" s="165">
        <f t="shared" si="19"/>
        <v>233.31395976898926</v>
      </c>
      <c r="U21" s="170">
        <f t="shared" ca="1" si="8"/>
        <v>148.99703778912902</v>
      </c>
      <c r="V21" s="165">
        <f t="shared" ca="1" si="9"/>
        <v>6.8841820892720147</v>
      </c>
      <c r="W21" s="169">
        <f ca="1">W22+W23+W24</f>
        <v>395.65176758082686</v>
      </c>
      <c r="X21" s="165">
        <f t="shared" ca="1" si="20"/>
        <v>18.280489682107419</v>
      </c>
      <c r="Y21" s="165">
        <f t="shared" si="12"/>
        <v>246.65472979169783</v>
      </c>
      <c r="Z21" s="165">
        <f t="shared" si="13"/>
        <v>165.54337821184123</v>
      </c>
    </row>
    <row r="22" spans="1:26" ht="10.5" customHeight="1">
      <c r="A22" s="8" t="s">
        <v>50</v>
      </c>
      <c r="B22" s="16" t="s">
        <v>22</v>
      </c>
      <c r="C22" s="23">
        <f>1102.65+155.43+118.35</f>
        <v>1376.43</v>
      </c>
      <c r="D22" s="24">
        <f t="shared" ca="1" si="0"/>
        <v>5.4681509594699422</v>
      </c>
      <c r="E22" s="24">
        <f>2642.39</f>
        <v>2642.39</v>
      </c>
      <c r="F22" s="24">
        <f t="shared" ca="1" si="1"/>
        <v>10.497437148125062</v>
      </c>
      <c r="G22" s="12">
        <f t="shared" si="14"/>
        <v>1265.9599999999998</v>
      </c>
      <c r="H22" s="145">
        <f t="shared" si="15"/>
        <v>91.974165050165993</v>
      </c>
      <c r="I22" s="24">
        <f t="shared" ca="1" si="2"/>
        <v>1102.6483758193656</v>
      </c>
      <c r="J22" s="24">
        <f t="shared" ca="1" si="3"/>
        <v>5.4681509594699422</v>
      </c>
      <c r="K22" s="24">
        <f t="shared" ca="1" si="11"/>
        <v>2084.2943899193065</v>
      </c>
      <c r="L22" s="24">
        <f t="shared" ca="1" si="4"/>
        <v>10.336238294992196</v>
      </c>
      <c r="M22" s="24">
        <f t="shared" si="16"/>
        <v>981.64601409994088</v>
      </c>
      <c r="N22" s="24">
        <f t="shared" si="17"/>
        <v>89.026205962575403</v>
      </c>
      <c r="O22" s="150">
        <f t="shared" ca="1" si="5"/>
        <v>155.43230038595229</v>
      </c>
      <c r="P22" s="24">
        <f t="shared" ca="1" si="6"/>
        <v>5.4681509594699422</v>
      </c>
      <c r="Q22" s="24">
        <f t="shared" ca="1" si="10"/>
        <v>347.37559675020179</v>
      </c>
      <c r="R22" s="24">
        <f t="shared" ca="1" si="7"/>
        <v>12.22076877167375</v>
      </c>
      <c r="S22" s="24">
        <f t="shared" si="18"/>
        <v>191.94329636424951</v>
      </c>
      <c r="T22" s="24">
        <f t="shared" si="19"/>
        <v>123.48996694228751</v>
      </c>
      <c r="U22" s="150">
        <f t="shared" ca="1" si="8"/>
        <v>118.34932379468215</v>
      </c>
      <c r="V22" s="24">
        <f t="shared" ca="1" si="9"/>
        <v>5.4681509594699422</v>
      </c>
      <c r="W22" s="150">
        <f ca="1">E22/г*г3</f>
        <v>210.72001333049161</v>
      </c>
      <c r="X22" s="24">
        <f t="shared" ca="1" si="20"/>
        <v>9.7359985349102711</v>
      </c>
      <c r="Y22" s="24">
        <f t="shared" si="12"/>
        <v>92.370689535809461</v>
      </c>
      <c r="Z22" s="24">
        <f t="shared" si="13"/>
        <v>78.049190797286158</v>
      </c>
    </row>
    <row r="23" spans="1:26" ht="10.5" customHeight="1">
      <c r="A23" s="8" t="s">
        <v>51</v>
      </c>
      <c r="B23" s="16" t="s">
        <v>18</v>
      </c>
      <c r="C23" s="26">
        <v>0</v>
      </c>
      <c r="D23" s="24">
        <f t="shared" ca="1" si="0"/>
        <v>0</v>
      </c>
      <c r="E23" s="24">
        <f>581.32</f>
        <v>581.32000000000005</v>
      </c>
      <c r="F23" s="24">
        <f t="shared" ca="1" si="1"/>
        <v>2.3094131308959169</v>
      </c>
      <c r="G23" s="12">
        <f t="shared" si="14"/>
        <v>581.32000000000005</v>
      </c>
      <c r="H23" s="145" t="e">
        <f t="shared" si="15"/>
        <v>#DIV/0!</v>
      </c>
      <c r="I23" s="24">
        <f t="shared" ca="1" si="2"/>
        <v>0</v>
      </c>
      <c r="J23" s="24">
        <f t="shared" ca="1" si="3"/>
        <v>0</v>
      </c>
      <c r="K23" s="24">
        <f t="shared" ca="1" si="11"/>
        <v>458.54019079238554</v>
      </c>
      <c r="L23" s="24">
        <f t="shared" ca="1" si="4"/>
        <v>2.2739497370353603</v>
      </c>
      <c r="M23" s="24">
        <f t="shared" si="16"/>
        <v>458.54019079238554</v>
      </c>
      <c r="N23" s="24" t="e">
        <f t="shared" si="17"/>
        <v>#DIV/0!</v>
      </c>
      <c r="O23" s="150">
        <f t="shared" ca="1" si="5"/>
        <v>0</v>
      </c>
      <c r="P23" s="24">
        <f t="shared" ca="1" si="6"/>
        <v>0</v>
      </c>
      <c r="Q23" s="24">
        <f t="shared" ca="1" si="10"/>
        <v>76.421868801663393</v>
      </c>
      <c r="R23" s="24">
        <f t="shared" ca="1" si="7"/>
        <v>2.6885423053937481</v>
      </c>
      <c r="S23" s="24">
        <f t="shared" si="18"/>
        <v>76.421868801663393</v>
      </c>
      <c r="T23" s="24" t="e">
        <f t="shared" si="19"/>
        <v>#DIV/0!</v>
      </c>
      <c r="U23" s="150">
        <f t="shared" ca="1" si="8"/>
        <v>0</v>
      </c>
      <c r="V23" s="24">
        <f t="shared" ca="1" si="9"/>
        <v>0</v>
      </c>
      <c r="W23" s="150">
        <f ca="1">E23/г*г3</f>
        <v>46.357940405951204</v>
      </c>
      <c r="X23" s="24">
        <f t="shared" ca="1" si="20"/>
        <v>2.141898307333149</v>
      </c>
      <c r="Y23" s="24">
        <f t="shared" si="12"/>
        <v>46.357940405951204</v>
      </c>
      <c r="Z23" s="24" t="e">
        <f t="shared" si="13"/>
        <v>#DIV/0!</v>
      </c>
    </row>
    <row r="24" spans="1:26" ht="10.5" customHeight="1">
      <c r="A24" s="8" t="s">
        <v>52</v>
      </c>
      <c r="B24" s="16" t="s">
        <v>23</v>
      </c>
      <c r="C24" s="23">
        <f>285.54+40.25+30.65</f>
        <v>356.44</v>
      </c>
      <c r="D24" s="24">
        <f t="shared" ca="1" si="0"/>
        <v>1.4160311298020722</v>
      </c>
      <c r="E24" s="24">
        <f>1737.69</f>
        <v>1737.69</v>
      </c>
      <c r="F24" s="24">
        <f t="shared" ca="1" si="1"/>
        <v>6.9033305295302521</v>
      </c>
      <c r="G24" s="12">
        <f t="shared" si="14"/>
        <v>1381.25</v>
      </c>
      <c r="H24" s="145">
        <f t="shared" si="15"/>
        <v>387.51262484569634</v>
      </c>
      <c r="I24" s="24">
        <f t="shared" ca="1" si="2"/>
        <v>285.54157282030667</v>
      </c>
      <c r="J24" s="24">
        <f t="shared" ca="1" si="3"/>
        <v>1.4160311298020725</v>
      </c>
      <c r="K24" s="24">
        <f t="shared" ca="1" si="11"/>
        <v>1370.6748505780299</v>
      </c>
      <c r="L24" s="24">
        <f t="shared" ca="1" si="4"/>
        <v>6.79732284894546</v>
      </c>
      <c r="M24" s="24">
        <f t="shared" si="16"/>
        <v>1085.1332777577231</v>
      </c>
      <c r="N24" s="24">
        <f t="shared" si="17"/>
        <v>380.02637130552097</v>
      </c>
      <c r="O24" s="150">
        <f t="shared" ca="1" si="5"/>
        <v>40.250713185246497</v>
      </c>
      <c r="P24" s="24">
        <f t="shared" ca="1" si="6"/>
        <v>1.4160311298020722</v>
      </c>
      <c r="Q24" s="24">
        <f t="shared" ca="1" si="10"/>
        <v>228.4413355775863</v>
      </c>
      <c r="R24" s="24">
        <f t="shared" ca="1" si="7"/>
        <v>8.0366288423925933</v>
      </c>
      <c r="S24" s="24">
        <f t="shared" si="18"/>
        <v>188.1906223923398</v>
      </c>
      <c r="T24" s="24">
        <f t="shared" si="19"/>
        <v>467.54605695115788</v>
      </c>
      <c r="U24" s="150">
        <f t="shared" ca="1" si="8"/>
        <v>30.647713994446871</v>
      </c>
      <c r="V24" s="24">
        <f t="shared" ca="1" si="9"/>
        <v>1.4160311298020722</v>
      </c>
      <c r="W24" s="150">
        <f ca="1">E24/г*г3</f>
        <v>138.57381384438406</v>
      </c>
      <c r="X24" s="24">
        <f t="shared" ca="1" si="20"/>
        <v>6.4025928398639982</v>
      </c>
      <c r="Y24" s="24">
        <f t="shared" si="12"/>
        <v>107.92609984993719</v>
      </c>
      <c r="Z24" s="24">
        <f t="shared" si="13"/>
        <v>352.15057106540655</v>
      </c>
    </row>
    <row r="25" spans="1:26" s="172" customFormat="1" ht="10.5" customHeight="1">
      <c r="A25" s="7" t="s">
        <v>53</v>
      </c>
      <c r="B25" s="14" t="s">
        <v>24</v>
      </c>
      <c r="C25" s="164">
        <f>C26+C27+C28</f>
        <v>2255.0699999999997</v>
      </c>
      <c r="D25" s="165">
        <f t="shared" ca="1" si="0"/>
        <v>8.9587288740959448</v>
      </c>
      <c r="E25" s="165">
        <f>E26+E27+E28</f>
        <v>3549.7372000000005</v>
      </c>
      <c r="F25" s="165">
        <f t="shared" ca="1" si="1"/>
        <v>14.102060312581205</v>
      </c>
      <c r="G25" s="167">
        <f t="shared" si="14"/>
        <v>1294.6672000000008</v>
      </c>
      <c r="H25" s="168">
        <f t="shared" si="15"/>
        <v>57.411397428904685</v>
      </c>
      <c r="I25" s="165">
        <f t="shared" ca="1" si="2"/>
        <v>1806.5206896529255</v>
      </c>
      <c r="J25" s="165">
        <f t="shared" ca="1" si="3"/>
        <v>8.9587288740959448</v>
      </c>
      <c r="K25" s="169">
        <f>K26+K27+K28</f>
        <v>2800.0020177369233</v>
      </c>
      <c r="L25" s="165">
        <f t="shared" ca="1" si="4"/>
        <v>13.885508794613354</v>
      </c>
      <c r="M25" s="165">
        <f t="shared" si="16"/>
        <v>993.48132808399782</v>
      </c>
      <c r="N25" s="165">
        <f t="shared" si="17"/>
        <v>54.994184886687826</v>
      </c>
      <c r="O25" s="170">
        <f t="shared" ca="1" si="5"/>
        <v>254.65204742075471</v>
      </c>
      <c r="P25" s="165">
        <f t="shared" ca="1" si="6"/>
        <v>8.9587288740959448</v>
      </c>
      <c r="Q25" s="162">
        <f t="shared" ca="1" si="10"/>
        <v>466.65786585492322</v>
      </c>
      <c r="R25" s="165">
        <f t="shared" ca="1" si="7"/>
        <v>16.417151715457834</v>
      </c>
      <c r="S25" s="165">
        <f t="shared" si="18"/>
        <v>212.0058184341685</v>
      </c>
      <c r="T25" s="165">
        <f t="shared" si="19"/>
        <v>83.253137204853104</v>
      </c>
      <c r="U25" s="170">
        <f t="shared" ca="1" si="8"/>
        <v>193.89726292631943</v>
      </c>
      <c r="V25" s="165">
        <f t="shared" ca="1" si="9"/>
        <v>8.9587288740959448</v>
      </c>
      <c r="W25" s="169">
        <f>W26+W27+W28</f>
        <v>283.07731640815399</v>
      </c>
      <c r="X25" s="165">
        <f t="shared" ca="1" si="20"/>
        <v>13.079157951141386</v>
      </c>
      <c r="Y25" s="165">
        <f t="shared" si="12"/>
        <v>89.180053481834562</v>
      </c>
      <c r="Z25" s="165">
        <f t="shared" si="13"/>
        <v>45.993456604760226</v>
      </c>
    </row>
    <row r="26" spans="1:26" ht="10.5" customHeight="1">
      <c r="A26" s="8" t="s">
        <v>54</v>
      </c>
      <c r="B26" s="18" t="s">
        <v>22</v>
      </c>
      <c r="C26" s="23">
        <f>1624.11+228.94+174.32</f>
        <v>2027.37</v>
      </c>
      <c r="D26" s="24">
        <f t="shared" ca="1" si="0"/>
        <v>8.0541438436393982</v>
      </c>
      <c r="E26" s="24">
        <v>2271.7600000000002</v>
      </c>
      <c r="F26" s="24">
        <f t="shared" ca="1" si="1"/>
        <v>9.0250333280191786</v>
      </c>
      <c r="G26" s="12">
        <f t="shared" si="14"/>
        <v>244.39000000000033</v>
      </c>
      <c r="H26" s="145">
        <f t="shared" si="15"/>
        <v>12.054533706230256</v>
      </c>
      <c r="I26" s="24">
        <f t="shared" ca="1" si="2"/>
        <v>1624.1118238376866</v>
      </c>
      <c r="J26" s="24">
        <f t="shared" ca="1" si="3"/>
        <v>8.0541438436393982</v>
      </c>
      <c r="K26" s="24">
        <f t="shared" ref="K26:K33" ca="1" si="21">E26/г*г1</f>
        <v>1791.9446498219736</v>
      </c>
      <c r="L26" s="24">
        <f t="shared" ca="1" si="4"/>
        <v>8.8864447371627495</v>
      </c>
      <c r="M26" s="24">
        <f t="shared" si="16"/>
        <v>167.83282598428696</v>
      </c>
      <c r="N26" s="24">
        <f t="shared" si="17"/>
        <v>10.333822063292862</v>
      </c>
      <c r="O26" s="150">
        <f t="shared" ca="1" si="5"/>
        <v>228.93919983832677</v>
      </c>
      <c r="P26" s="24">
        <f t="shared" ca="1" si="6"/>
        <v>8.0541438436393982</v>
      </c>
      <c r="Q26" s="24">
        <f t="shared" ca="1" si="10"/>
        <v>298.65159407704334</v>
      </c>
      <c r="R26" s="24">
        <f t="shared" ca="1" si="7"/>
        <v>10.506644993637414</v>
      </c>
      <c r="S26" s="24">
        <f t="shared" si="18"/>
        <v>69.71239423871657</v>
      </c>
      <c r="T26" s="24">
        <f t="shared" si="19"/>
        <v>30.450178164310156</v>
      </c>
      <c r="U26" s="150">
        <f t="shared" ca="1" si="8"/>
        <v>174.3189763239865</v>
      </c>
      <c r="V26" s="24">
        <f t="shared" ca="1" si="9"/>
        <v>8.0541438436393982</v>
      </c>
      <c r="W26" s="150">
        <f t="shared" ref="W26:W34" ca="1" si="22">E26/г*г3</f>
        <v>181.16375610098345</v>
      </c>
      <c r="X26" s="24">
        <f t="shared" ca="1" si="20"/>
        <v>8.3703965090950838</v>
      </c>
      <c r="Y26" s="24">
        <f t="shared" si="12"/>
        <v>6.8447797769969441</v>
      </c>
      <c r="Z26" s="24">
        <f t="shared" si="13"/>
        <v>3.9265832793070929</v>
      </c>
    </row>
    <row r="27" spans="1:26" ht="10.5" customHeight="1">
      <c r="A27" s="8" t="s">
        <v>55</v>
      </c>
      <c r="B27" s="18" t="s">
        <v>18</v>
      </c>
      <c r="C27" s="26">
        <v>0</v>
      </c>
      <c r="D27" s="24">
        <f t="shared" ca="1" si="0"/>
        <v>0</v>
      </c>
      <c r="E27" s="26">
        <f>E26*0.22</f>
        <v>499.78720000000004</v>
      </c>
      <c r="F27" s="24">
        <f t="shared" ca="1" si="1"/>
        <v>1.9855073321642192</v>
      </c>
      <c r="G27" s="12">
        <f t="shared" si="14"/>
        <v>499.78720000000004</v>
      </c>
      <c r="H27" s="145" t="e">
        <f t="shared" si="15"/>
        <v>#DIV/0!</v>
      </c>
      <c r="I27" s="24">
        <f t="shared" ca="1" si="2"/>
        <v>0</v>
      </c>
      <c r="J27" s="24">
        <f t="shared" ca="1" si="3"/>
        <v>0</v>
      </c>
      <c r="K27" s="24">
        <f t="shared" ca="1" si="21"/>
        <v>394.2278229608342</v>
      </c>
      <c r="L27" s="24">
        <f t="shared" ca="1" si="4"/>
        <v>1.9550178421758049</v>
      </c>
      <c r="M27" s="24">
        <f t="shared" si="16"/>
        <v>394.2278229608342</v>
      </c>
      <c r="N27" s="24" t="e">
        <f t="shared" si="17"/>
        <v>#DIV/0!</v>
      </c>
      <c r="O27" s="150">
        <f t="shared" ca="1" si="5"/>
        <v>0</v>
      </c>
      <c r="P27" s="24">
        <f t="shared" ca="1" si="6"/>
        <v>0</v>
      </c>
      <c r="Q27" s="24">
        <f t="shared" ca="1" si="10"/>
        <v>65.703350696949542</v>
      </c>
      <c r="R27" s="24">
        <f t="shared" ca="1" si="7"/>
        <v>2.3114618986002311</v>
      </c>
      <c r="S27" s="24">
        <f t="shared" si="18"/>
        <v>65.703350696949542</v>
      </c>
      <c r="T27" s="24" t="e">
        <f t="shared" si="19"/>
        <v>#DIV/0!</v>
      </c>
      <c r="U27" s="150">
        <f t="shared" ca="1" si="8"/>
        <v>0</v>
      </c>
      <c r="V27" s="24">
        <f t="shared" ca="1" si="9"/>
        <v>0</v>
      </c>
      <c r="W27" s="150">
        <f t="shared" ca="1" si="22"/>
        <v>39.85602634221636</v>
      </c>
      <c r="X27" s="24">
        <f t="shared" ca="1" si="20"/>
        <v>1.8414872320009186</v>
      </c>
      <c r="Y27" s="24">
        <f t="shared" si="12"/>
        <v>39.85602634221636</v>
      </c>
      <c r="Z27" s="24" t="e">
        <f t="shared" si="13"/>
        <v>#DIV/0!</v>
      </c>
    </row>
    <row r="28" spans="1:26" ht="10.5" customHeight="1">
      <c r="A28" s="8" t="s">
        <v>56</v>
      </c>
      <c r="B28" s="16" t="s">
        <v>23</v>
      </c>
      <c r="C28" s="23">
        <f>182.41+25.71+19.58</f>
        <v>227.7</v>
      </c>
      <c r="D28" s="24">
        <f t="shared" ca="1" si="0"/>
        <v>0.90458503045654759</v>
      </c>
      <c r="E28" s="24">
        <v>778.19</v>
      </c>
      <c r="F28" s="24">
        <f t="shared" ca="1" si="1"/>
        <v>3.0915196523978077</v>
      </c>
      <c r="G28" s="12">
        <f t="shared" si="14"/>
        <v>550.49</v>
      </c>
      <c r="H28" s="145">
        <f t="shared" si="15"/>
        <v>241.76108915239354</v>
      </c>
      <c r="I28" s="24">
        <f ca="1">C28/в*в1</f>
        <v>182.40886581523907</v>
      </c>
      <c r="J28" s="24">
        <f t="shared" ca="1" si="3"/>
        <v>0.90458503045654759</v>
      </c>
      <c r="K28" s="24">
        <f t="shared" ca="1" si="21"/>
        <v>613.82954495411559</v>
      </c>
      <c r="L28" s="24">
        <f t="shared" ca="1" si="4"/>
        <v>3.0440462152748</v>
      </c>
      <c r="M28" s="24">
        <f t="shared" si="16"/>
        <v>431.42067913887649</v>
      </c>
      <c r="N28" s="24">
        <f t="shared" si="17"/>
        <v>236.51299908627257</v>
      </c>
      <c r="O28" s="150">
        <f t="shared" ca="1" si="5"/>
        <v>25.712847582427976</v>
      </c>
      <c r="P28" s="24">
        <f t="shared" ca="1" si="6"/>
        <v>0.9045850304565477</v>
      </c>
      <c r="Q28" s="24">
        <f t="shared" ca="1" si="10"/>
        <v>102.30292108093036</v>
      </c>
      <c r="R28" s="24">
        <f t="shared" ca="1" si="7"/>
        <v>3.5990448232201899</v>
      </c>
      <c r="S28" s="24">
        <f t="shared" si="18"/>
        <v>76.590073498502392</v>
      </c>
      <c r="T28" s="24">
        <f t="shared" si="19"/>
        <v>297.86694473638789</v>
      </c>
      <c r="U28" s="150">
        <f t="shared" ca="1" si="8"/>
        <v>19.578286602332938</v>
      </c>
      <c r="V28" s="24">
        <f t="shared" ca="1" si="9"/>
        <v>0.90458503045654759</v>
      </c>
      <c r="W28" s="150">
        <f t="shared" ca="1" si="22"/>
        <v>62.057533964954182</v>
      </c>
      <c r="X28" s="24">
        <f t="shared" ca="1" si="20"/>
        <v>2.8672742100453847</v>
      </c>
      <c r="Y28" s="24">
        <f t="shared" si="12"/>
        <v>42.479247362621244</v>
      </c>
      <c r="Z28" s="24">
        <f t="shared" si="13"/>
        <v>216.97122033937046</v>
      </c>
    </row>
    <row r="29" spans="1:26" s="172" customFormat="1" ht="10.5" customHeight="1">
      <c r="A29" s="7">
        <v>3</v>
      </c>
      <c r="B29" s="14" t="s">
        <v>25</v>
      </c>
      <c r="C29" s="167">
        <f>C30+C31+C32</f>
        <v>0</v>
      </c>
      <c r="D29" s="165">
        <f t="shared" ca="1" si="0"/>
        <v>0</v>
      </c>
      <c r="E29" s="165">
        <f>E30+E31+E32</f>
        <v>2634.1388399999996</v>
      </c>
      <c r="F29" s="165">
        <f t="shared" ca="1" si="1"/>
        <v>10.464657719842664</v>
      </c>
      <c r="G29" s="165">
        <f>E29-C29</f>
        <v>2634.1388399999996</v>
      </c>
      <c r="H29" s="168">
        <v>0</v>
      </c>
      <c r="I29" s="165">
        <f t="shared" ca="1" si="2"/>
        <v>0</v>
      </c>
      <c r="J29" s="165">
        <f t="shared" ca="1" si="3"/>
        <v>0</v>
      </c>
      <c r="K29" s="24">
        <f t="shared" ca="1" si="21"/>
        <v>2077.785946238273</v>
      </c>
      <c r="L29" s="165">
        <f t="shared" ca="1" si="4"/>
        <v>10.303962228260902</v>
      </c>
      <c r="M29" s="165">
        <f>K29-I29</f>
        <v>2077.785946238273</v>
      </c>
      <c r="N29" s="165">
        <v>0</v>
      </c>
      <c r="O29" s="170">
        <f t="shared" ca="1" si="5"/>
        <v>0</v>
      </c>
      <c r="P29" s="165">
        <f t="shared" ca="1" si="6"/>
        <v>0</v>
      </c>
      <c r="Q29" s="162">
        <f t="shared" ca="1" si="10"/>
        <v>346.29087737536258</v>
      </c>
      <c r="R29" s="165">
        <f t="shared" ca="1" si="7"/>
        <v>12.18260804655063</v>
      </c>
      <c r="S29" s="165">
        <f>Q29-O29</f>
        <v>346.29087737536258</v>
      </c>
      <c r="T29" s="165">
        <v>0</v>
      </c>
      <c r="U29" s="150">
        <f t="shared" ca="1" si="8"/>
        <v>0</v>
      </c>
      <c r="V29" s="24">
        <f t="shared" ca="1" si="9"/>
        <v>0</v>
      </c>
      <c r="W29" s="150">
        <f t="shared" ca="1" si="22"/>
        <v>210.06201638636449</v>
      </c>
      <c r="X29" s="165">
        <f ca="1">W29/а3</f>
        <v>9.7055967843468363</v>
      </c>
      <c r="Y29" s="165">
        <f t="shared" si="12"/>
        <v>210.06201638636449</v>
      </c>
      <c r="Z29" s="165">
        <v>0</v>
      </c>
    </row>
    <row r="30" spans="1:26" ht="10.5" customHeight="1">
      <c r="A30" s="8" t="s">
        <v>57</v>
      </c>
      <c r="B30" s="18" t="s">
        <v>22</v>
      </c>
      <c r="C30" s="12">
        <v>0</v>
      </c>
      <c r="D30" s="24">
        <f t="shared" ca="1" si="0"/>
        <v>0</v>
      </c>
      <c r="E30" s="24">
        <f>1584.18+422.57+117.7</f>
        <v>2124.4499999999998</v>
      </c>
      <c r="F30" s="24">
        <f t="shared" ca="1" si="1"/>
        <v>8.4398140885086192</v>
      </c>
      <c r="G30" s="12">
        <f>E30-C30</f>
        <v>2124.4499999999998</v>
      </c>
      <c r="H30" s="145">
        <v>0</v>
      </c>
      <c r="I30" s="24">
        <f t="shared" ca="1" si="2"/>
        <v>0</v>
      </c>
      <c r="J30" s="24">
        <f t="shared" ca="1" si="3"/>
        <v>0</v>
      </c>
      <c r="K30" s="24">
        <f t="shared" ca="1" si="21"/>
        <v>1675.7477952399422</v>
      </c>
      <c r="L30" s="24">
        <f t="shared" ca="1" si="4"/>
        <v>8.3102121359058181</v>
      </c>
      <c r="M30" s="24">
        <f>K30-I30</f>
        <v>1675.7477952399422</v>
      </c>
      <c r="N30" s="24">
        <v>0</v>
      </c>
      <c r="O30" s="150">
        <f ca="1">C30/в*в2</f>
        <v>0</v>
      </c>
      <c r="P30" s="24">
        <f t="shared" ca="1" si="6"/>
        <v>0</v>
      </c>
      <c r="Q30" s="24">
        <f t="shared" ca="1" si="10"/>
        <v>279.28583082586835</v>
      </c>
      <c r="R30" s="24">
        <f t="shared" ca="1" si="7"/>
        <v>9.8253521308294012</v>
      </c>
      <c r="S30" s="24">
        <f>Q30-O30</f>
        <v>279.28583082586835</v>
      </c>
      <c r="T30" s="24">
        <v>0</v>
      </c>
      <c r="U30" s="150">
        <f t="shared" ca="1" si="8"/>
        <v>0</v>
      </c>
      <c r="V30" s="24">
        <f t="shared" ca="1" si="9"/>
        <v>0</v>
      </c>
      <c r="W30" s="150">
        <f t="shared" ca="1" si="22"/>
        <v>169.41637393418947</v>
      </c>
      <c r="X30" s="24">
        <f ca="1">W30/а3</f>
        <v>7.8276265379032335</v>
      </c>
      <c r="Y30" s="24">
        <f t="shared" si="12"/>
        <v>169.41637393418947</v>
      </c>
      <c r="Z30" s="24">
        <v>0</v>
      </c>
    </row>
    <row r="31" spans="1:26" ht="10.5" customHeight="1">
      <c r="A31" s="8" t="s">
        <v>58</v>
      </c>
      <c r="B31" s="18" t="s">
        <v>18</v>
      </c>
      <c r="C31" s="12">
        <v>0</v>
      </c>
      <c r="D31" s="24">
        <f t="shared" ca="1" si="0"/>
        <v>0</v>
      </c>
      <c r="E31" s="24">
        <f>E30*0.22</f>
        <v>467.37899999999996</v>
      </c>
      <c r="F31" s="24">
        <f t="shared" ca="1" si="1"/>
        <v>1.8567590994718961</v>
      </c>
      <c r="G31" s="12">
        <f>E31-C31</f>
        <v>467.37899999999996</v>
      </c>
      <c r="H31" s="145">
        <v>0</v>
      </c>
      <c r="I31" s="24">
        <f t="shared" ca="1" si="2"/>
        <v>0</v>
      </c>
      <c r="J31" s="24">
        <f t="shared" ca="1" si="3"/>
        <v>0</v>
      </c>
      <c r="K31" s="24">
        <f t="shared" ca="1" si="21"/>
        <v>368.66451495278733</v>
      </c>
      <c r="L31" s="24">
        <f t="shared" ca="1" si="4"/>
        <v>1.8282466698992801</v>
      </c>
      <c r="M31" s="24">
        <f>K31-I31</f>
        <v>368.66451495278733</v>
      </c>
      <c r="N31" s="24">
        <v>0</v>
      </c>
      <c r="O31" s="150">
        <f t="shared" ca="1" si="5"/>
        <v>0</v>
      </c>
      <c r="P31" s="24">
        <f t="shared" ca="1" si="6"/>
        <v>0</v>
      </c>
      <c r="Q31" s="24">
        <f t="shared" ca="1" si="10"/>
        <v>61.442882781691033</v>
      </c>
      <c r="R31" s="24">
        <f t="shared" ca="1" si="7"/>
        <v>2.1615774687824683</v>
      </c>
      <c r="S31" s="24">
        <f>Q31-O31</f>
        <v>61.442882781691033</v>
      </c>
      <c r="T31" s="24">
        <v>0</v>
      </c>
      <c r="U31" s="150">
        <f t="shared" ca="1" si="8"/>
        <v>0</v>
      </c>
      <c r="V31" s="24">
        <f t="shared" ca="1" si="9"/>
        <v>0</v>
      </c>
      <c r="W31" s="150">
        <f t="shared" ca="1" si="22"/>
        <v>37.271602265521686</v>
      </c>
      <c r="X31" s="24">
        <f ca="1">W31/а3</f>
        <v>1.7220778383387116</v>
      </c>
      <c r="Y31" s="24">
        <f t="shared" si="12"/>
        <v>37.271602265521686</v>
      </c>
      <c r="Z31" s="24">
        <v>0</v>
      </c>
    </row>
    <row r="32" spans="1:26" ht="10.5" customHeight="1">
      <c r="A32" s="8" t="s">
        <v>59</v>
      </c>
      <c r="B32" s="18" t="s">
        <v>23</v>
      </c>
      <c r="C32" s="12">
        <v>0</v>
      </c>
      <c r="D32" s="24">
        <f t="shared" ca="1" si="0"/>
        <v>0</v>
      </c>
      <c r="E32" s="24">
        <f>30.55324+8.8466+2.91</f>
        <v>42.309839999999994</v>
      </c>
      <c r="F32" s="24">
        <f t="shared" ca="1" si="1"/>
        <v>0.16808453186215042</v>
      </c>
      <c r="G32" s="12">
        <f>E32-C32</f>
        <v>42.309839999999994</v>
      </c>
      <c r="H32" s="145">
        <v>0</v>
      </c>
      <c r="I32" s="24">
        <f t="shared" ca="1" si="2"/>
        <v>0</v>
      </c>
      <c r="J32" s="24">
        <f t="shared" ca="1" si="3"/>
        <v>0</v>
      </c>
      <c r="K32" s="24">
        <f t="shared" ca="1" si="21"/>
        <v>33.373636045543414</v>
      </c>
      <c r="L32" s="24">
        <f t="shared" ca="1" si="4"/>
        <v>0.16550342245580424</v>
      </c>
      <c r="M32" s="24">
        <f>K32-I32</f>
        <v>33.373636045543414</v>
      </c>
      <c r="N32" s="24">
        <v>0</v>
      </c>
      <c r="O32" s="150">
        <f t="shared" ca="1" si="5"/>
        <v>0</v>
      </c>
      <c r="P32" s="24">
        <f t="shared" ca="1" si="6"/>
        <v>0</v>
      </c>
      <c r="Q32" s="24">
        <f t="shared" ca="1" si="10"/>
        <v>5.5621637678032219</v>
      </c>
      <c r="R32" s="24">
        <f t="shared" ca="1" si="7"/>
        <v>0.19567844693876105</v>
      </c>
      <c r="S32" s="24">
        <f>Q32-O32</f>
        <v>5.5621637678032219</v>
      </c>
      <c r="T32" s="24">
        <v>0</v>
      </c>
      <c r="U32" s="150">
        <f t="shared" ca="1" si="8"/>
        <v>0</v>
      </c>
      <c r="V32" s="24">
        <f t="shared" ca="1" si="9"/>
        <v>0</v>
      </c>
      <c r="W32" s="150">
        <f t="shared" ca="1" si="22"/>
        <v>3.3740401866533576</v>
      </c>
      <c r="X32" s="24">
        <f ca="1">W32/а3</f>
        <v>0.15589240810489288</v>
      </c>
      <c r="Y32" s="24">
        <f t="shared" si="12"/>
        <v>3.3740401866533576</v>
      </c>
      <c r="Z32" s="24">
        <v>0</v>
      </c>
    </row>
    <row r="33" spans="1:26" s="172" customFormat="1" ht="10.5" customHeight="1">
      <c r="A33" s="7">
        <v>4</v>
      </c>
      <c r="B33" s="14" t="s">
        <v>26</v>
      </c>
      <c r="C33" s="167">
        <v>0</v>
      </c>
      <c r="D33" s="165">
        <f t="shared" ca="1" si="0"/>
        <v>0</v>
      </c>
      <c r="E33" s="24">
        <v>0</v>
      </c>
      <c r="F33" s="165">
        <f t="shared" ca="1" si="1"/>
        <v>0</v>
      </c>
      <c r="G33" s="166">
        <f>E33-C33</f>
        <v>0</v>
      </c>
      <c r="H33" s="168" t="e">
        <f>G33/C33*100</f>
        <v>#DIV/0!</v>
      </c>
      <c r="I33" s="165">
        <f t="shared" ca="1" si="2"/>
        <v>0</v>
      </c>
      <c r="J33" s="165">
        <f t="shared" ca="1" si="3"/>
        <v>0</v>
      </c>
      <c r="K33" s="162">
        <f t="shared" ca="1" si="21"/>
        <v>0</v>
      </c>
      <c r="L33" s="165">
        <f ca="1">K33/в1</f>
        <v>0</v>
      </c>
      <c r="M33" s="165">
        <f>K33-I33</f>
        <v>0</v>
      </c>
      <c r="N33" s="165" t="e">
        <f>M33/I33*100</f>
        <v>#DIV/0!</v>
      </c>
      <c r="O33" s="170">
        <f t="shared" ca="1" si="5"/>
        <v>0</v>
      </c>
      <c r="P33" s="165">
        <f t="shared" ca="1" si="6"/>
        <v>0</v>
      </c>
      <c r="Q33" s="162">
        <f t="shared" ca="1" si="10"/>
        <v>0</v>
      </c>
      <c r="R33" s="165">
        <f ca="1">Q33/в2</f>
        <v>0</v>
      </c>
      <c r="S33" s="165">
        <f>Q33-O33</f>
        <v>0</v>
      </c>
      <c r="T33" s="165" t="e">
        <f>S33/O33*100</f>
        <v>#DIV/0!</v>
      </c>
      <c r="U33" s="150">
        <f t="shared" ca="1" si="8"/>
        <v>0</v>
      </c>
      <c r="V33" s="24">
        <f t="shared" ca="1" si="9"/>
        <v>0</v>
      </c>
      <c r="W33" s="150">
        <f t="shared" ca="1" si="22"/>
        <v>0</v>
      </c>
      <c r="X33" s="165">
        <f ca="1">W33/а3</f>
        <v>0</v>
      </c>
      <c r="Y33" s="165">
        <f t="shared" si="12"/>
        <v>0</v>
      </c>
      <c r="Z33" s="165" t="e">
        <f t="shared" si="13"/>
        <v>#DIV/0!</v>
      </c>
    </row>
    <row r="34" spans="1:26" ht="10.5" customHeight="1">
      <c r="A34" s="7">
        <v>5</v>
      </c>
      <c r="B34" s="14" t="s">
        <v>27</v>
      </c>
      <c r="C34" s="12">
        <v>0</v>
      </c>
      <c r="D34" s="24">
        <f t="shared" ca="1" si="0"/>
        <v>0</v>
      </c>
      <c r="E34" s="24"/>
      <c r="F34" s="24">
        <f t="shared" ca="1" si="1"/>
        <v>0</v>
      </c>
      <c r="G34" s="12">
        <v>0</v>
      </c>
      <c r="H34" s="144">
        <v>0</v>
      </c>
      <c r="I34" s="24">
        <f t="shared" ca="1" si="2"/>
        <v>0</v>
      </c>
      <c r="J34" s="24">
        <f t="shared" ca="1" si="3"/>
        <v>0</v>
      </c>
      <c r="K34" s="54">
        <v>0</v>
      </c>
      <c r="L34" s="24">
        <f t="shared" ca="1" si="4"/>
        <v>0</v>
      </c>
      <c r="M34" s="12">
        <v>0</v>
      </c>
      <c r="N34" s="12">
        <v>0</v>
      </c>
      <c r="O34" s="150">
        <f t="shared" ca="1" si="5"/>
        <v>0</v>
      </c>
      <c r="P34" s="24">
        <f t="shared" ca="1" si="6"/>
        <v>0</v>
      </c>
      <c r="Q34" s="24">
        <f t="shared" ca="1" si="10"/>
        <v>0</v>
      </c>
      <c r="R34" s="24">
        <f t="shared" ca="1" si="7"/>
        <v>0</v>
      </c>
      <c r="S34" s="12">
        <v>0</v>
      </c>
      <c r="T34" s="12">
        <v>0</v>
      </c>
      <c r="U34" s="150">
        <f t="shared" ca="1" si="8"/>
        <v>0</v>
      </c>
      <c r="V34" s="24">
        <f t="shared" ca="1" si="9"/>
        <v>0</v>
      </c>
      <c r="W34" s="150">
        <f t="shared" ca="1" si="22"/>
        <v>0</v>
      </c>
      <c r="X34" s="12">
        <v>0</v>
      </c>
      <c r="Y34" s="12">
        <v>0</v>
      </c>
      <c r="Z34" s="12">
        <v>0</v>
      </c>
    </row>
    <row r="35" spans="1:26" s="172" customFormat="1" ht="10.5" customHeight="1">
      <c r="A35" s="7">
        <v>6</v>
      </c>
      <c r="B35" s="14" t="s">
        <v>28</v>
      </c>
      <c r="C35" s="166">
        <f>C8+C25+C29+C33</f>
        <v>38743.18</v>
      </c>
      <c r="D35" s="165">
        <f t="shared" ca="1" si="0"/>
        <v>153.91524224981777</v>
      </c>
      <c r="E35" s="26">
        <f>E8+E25+E29+E33</f>
        <v>48336.236310000008</v>
      </c>
      <c r="F35" s="165">
        <f t="shared" ca="1" si="1"/>
        <v>192.02562931329047</v>
      </c>
      <c r="G35" s="165">
        <f>E35-C35</f>
        <v>9593.0563100000072</v>
      </c>
      <c r="H35" s="168">
        <f>G35/C35*100</f>
        <v>24.760632219657776</v>
      </c>
      <c r="I35" s="166">
        <f t="shared" ca="1" si="2"/>
        <v>31036.888545786798</v>
      </c>
      <c r="J35" s="165">
        <f t="shared" ca="1" si="3"/>
        <v>153.91524224981777</v>
      </c>
      <c r="K35" s="162">
        <f ca="1">E35/г*г1</f>
        <v>38127.205359824598</v>
      </c>
      <c r="L35" s="165">
        <f ca="1">K35/в1</f>
        <v>189.07687993945424</v>
      </c>
      <c r="M35" s="165">
        <f>K35-I35</f>
        <v>7090.3168140378002</v>
      </c>
      <c r="N35" s="165">
        <f>M35/I35*100</f>
        <v>22.844805475838516</v>
      </c>
      <c r="O35" s="175">
        <f t="shared" ca="1" si="5"/>
        <v>4375.0438392559154</v>
      </c>
      <c r="P35" s="165">
        <f ca="1">O35/в2</f>
        <v>153.91524224981777</v>
      </c>
      <c r="Q35" s="162">
        <f t="shared" ca="1" si="10"/>
        <v>6354.4098081074426</v>
      </c>
      <c r="R35" s="165">
        <f ca="1">Q35/в2</f>
        <v>223.54987993350375</v>
      </c>
      <c r="S35" s="165">
        <f>Q35-O35</f>
        <v>1979.3659688515272</v>
      </c>
      <c r="T35" s="165">
        <f>S35/O35*100</f>
        <v>45.242197371630624</v>
      </c>
      <c r="U35" s="165">
        <f>U8+U25+U29+U33</f>
        <v>3331.2476149572835</v>
      </c>
      <c r="V35" s="165">
        <f ca="1">U35/в3</f>
        <v>153.91524224981777</v>
      </c>
      <c r="W35" s="165">
        <f ca="1">W8+W25+W29+W33</f>
        <v>3854.6211420679733</v>
      </c>
      <c r="X35" s="165">
        <f ca="1">W35/в3</f>
        <v>178.09692206571953</v>
      </c>
      <c r="Y35" s="165">
        <f>W35-U35</f>
        <v>523.37352711068979</v>
      </c>
      <c r="Z35" s="165">
        <f>Y35/U35*100</f>
        <v>15.711036452551456</v>
      </c>
    </row>
    <row r="36" spans="1:26" ht="10.5" customHeight="1">
      <c r="A36" s="7">
        <v>7</v>
      </c>
      <c r="B36" s="14" t="s">
        <v>29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44">
        <v>0</v>
      </c>
      <c r="I36" s="12">
        <v>0</v>
      </c>
      <c r="J36" s="12">
        <v>0</v>
      </c>
      <c r="K36" s="54">
        <v>0</v>
      </c>
      <c r="L36" s="12">
        <v>0</v>
      </c>
      <c r="M36" s="12">
        <v>0</v>
      </c>
      <c r="N36" s="12">
        <v>0</v>
      </c>
      <c r="O36" s="151">
        <v>0</v>
      </c>
      <c r="P36" s="12">
        <v>0</v>
      </c>
      <c r="Q36" s="154">
        <v>0</v>
      </c>
      <c r="R36" s="12">
        <v>0</v>
      </c>
      <c r="S36" s="12">
        <v>0</v>
      </c>
      <c r="T36" s="12">
        <v>0</v>
      </c>
      <c r="U36" s="151">
        <v>0</v>
      </c>
      <c r="V36" s="12">
        <v>0</v>
      </c>
      <c r="W36" s="54">
        <v>0</v>
      </c>
      <c r="X36" s="12">
        <v>0</v>
      </c>
      <c r="Y36" s="12">
        <v>0</v>
      </c>
      <c r="Z36" s="12">
        <v>0</v>
      </c>
    </row>
    <row r="37" spans="1:26" ht="10.5" hidden="1" customHeight="1">
      <c r="A37" s="8" t="s">
        <v>60</v>
      </c>
      <c r="B37" s="18" t="s">
        <v>30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44">
        <v>0</v>
      </c>
      <c r="I37" s="12">
        <v>0</v>
      </c>
      <c r="J37" s="12">
        <v>0</v>
      </c>
      <c r="K37" s="54"/>
      <c r="L37" s="12">
        <v>0</v>
      </c>
      <c r="M37" s="12">
        <v>0</v>
      </c>
      <c r="N37" s="12">
        <v>0</v>
      </c>
      <c r="O37" s="151">
        <v>0</v>
      </c>
      <c r="P37" s="12">
        <v>0</v>
      </c>
      <c r="Q37" s="151">
        <v>0</v>
      </c>
      <c r="R37" s="12">
        <v>0</v>
      </c>
      <c r="S37" s="12">
        <v>0</v>
      </c>
      <c r="T37" s="12">
        <v>0</v>
      </c>
      <c r="U37" s="151">
        <v>0</v>
      </c>
      <c r="V37" s="12">
        <v>0</v>
      </c>
      <c r="W37" s="54">
        <v>0</v>
      </c>
      <c r="X37" s="12">
        <v>0</v>
      </c>
      <c r="Y37" s="12">
        <v>0</v>
      </c>
      <c r="Z37" s="12">
        <v>0</v>
      </c>
    </row>
    <row r="38" spans="1:26" ht="10.5" hidden="1" customHeight="1">
      <c r="A38" s="8" t="s">
        <v>61</v>
      </c>
      <c r="B38" s="18" t="s">
        <v>31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44">
        <v>0</v>
      </c>
      <c r="I38" s="12">
        <v>0</v>
      </c>
      <c r="J38" s="12">
        <v>0</v>
      </c>
      <c r="K38" s="54">
        <v>0</v>
      </c>
      <c r="L38" s="12">
        <v>0</v>
      </c>
      <c r="M38" s="12">
        <v>0</v>
      </c>
      <c r="N38" s="12">
        <v>0</v>
      </c>
      <c r="O38" s="151">
        <v>0</v>
      </c>
      <c r="P38" s="12">
        <v>0</v>
      </c>
      <c r="Q38" s="151">
        <v>0</v>
      </c>
      <c r="R38" s="12">
        <v>0</v>
      </c>
      <c r="S38" s="12">
        <v>0</v>
      </c>
      <c r="T38" s="12">
        <v>0</v>
      </c>
      <c r="U38" s="151">
        <v>0</v>
      </c>
      <c r="V38" s="12">
        <v>0</v>
      </c>
      <c r="W38" s="54">
        <v>0</v>
      </c>
      <c r="X38" s="12">
        <v>0</v>
      </c>
      <c r="Y38" s="12">
        <v>0</v>
      </c>
      <c r="Z38" s="12">
        <v>0</v>
      </c>
    </row>
    <row r="39" spans="1:26" ht="10.5" hidden="1" customHeight="1">
      <c r="A39" s="8" t="s">
        <v>62</v>
      </c>
      <c r="B39" s="18" t="s">
        <v>32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44">
        <v>0</v>
      </c>
      <c r="I39" s="12">
        <v>0</v>
      </c>
      <c r="J39" s="12">
        <v>0</v>
      </c>
      <c r="K39" s="54">
        <v>0</v>
      </c>
      <c r="L39" s="12">
        <v>0</v>
      </c>
      <c r="M39" s="12">
        <v>0</v>
      </c>
      <c r="N39" s="12">
        <v>0</v>
      </c>
      <c r="O39" s="151">
        <v>0</v>
      </c>
      <c r="P39" s="12">
        <v>0</v>
      </c>
      <c r="Q39" s="151">
        <v>0</v>
      </c>
      <c r="R39" s="12">
        <v>0</v>
      </c>
      <c r="S39" s="12">
        <v>0</v>
      </c>
      <c r="T39" s="12">
        <v>0</v>
      </c>
      <c r="U39" s="151">
        <v>0</v>
      </c>
      <c r="V39" s="12">
        <v>0</v>
      </c>
      <c r="W39" s="54">
        <v>0</v>
      </c>
      <c r="X39" s="12">
        <v>0</v>
      </c>
      <c r="Y39" s="12">
        <v>0</v>
      </c>
      <c r="Z39" s="12">
        <v>0</v>
      </c>
    </row>
    <row r="40" spans="1:26" ht="24" hidden="1" customHeight="1">
      <c r="A40" s="8" t="s">
        <v>63</v>
      </c>
      <c r="B40" s="19" t="s">
        <v>33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44">
        <v>0</v>
      </c>
      <c r="I40" s="12">
        <v>0</v>
      </c>
      <c r="J40" s="12">
        <v>0</v>
      </c>
      <c r="K40" s="54">
        <v>0</v>
      </c>
      <c r="L40" s="12">
        <v>0</v>
      </c>
      <c r="M40" s="12">
        <v>0</v>
      </c>
      <c r="N40" s="12">
        <v>0</v>
      </c>
      <c r="O40" s="151">
        <v>0</v>
      </c>
      <c r="P40" s="12">
        <v>0</v>
      </c>
      <c r="Q40" s="151">
        <v>0</v>
      </c>
      <c r="R40" s="12">
        <v>0</v>
      </c>
      <c r="S40" s="12">
        <v>0</v>
      </c>
      <c r="T40" s="12">
        <v>0</v>
      </c>
      <c r="U40" s="151">
        <v>0</v>
      </c>
      <c r="V40" s="12">
        <v>0</v>
      </c>
      <c r="W40" s="54">
        <v>0</v>
      </c>
      <c r="X40" s="12">
        <v>0</v>
      </c>
      <c r="Y40" s="12">
        <v>0</v>
      </c>
      <c r="Z40" s="12">
        <v>0</v>
      </c>
    </row>
    <row r="41" spans="1:26" ht="10.5" hidden="1" customHeight="1">
      <c r="A41" s="8" t="s">
        <v>64</v>
      </c>
      <c r="B41" s="18" t="s">
        <v>34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44">
        <v>0</v>
      </c>
      <c r="I41" s="12">
        <v>0</v>
      </c>
      <c r="J41" s="12">
        <v>0</v>
      </c>
      <c r="K41" s="54">
        <v>0</v>
      </c>
      <c r="L41" s="12">
        <v>0</v>
      </c>
      <c r="M41" s="12">
        <v>0</v>
      </c>
      <c r="N41" s="12">
        <v>0</v>
      </c>
      <c r="O41" s="151">
        <v>0</v>
      </c>
      <c r="P41" s="12">
        <v>0</v>
      </c>
      <c r="Q41" s="151">
        <v>0</v>
      </c>
      <c r="R41" s="12">
        <v>0</v>
      </c>
      <c r="S41" s="12">
        <v>0</v>
      </c>
      <c r="T41" s="12">
        <v>0</v>
      </c>
      <c r="U41" s="151">
        <v>0</v>
      </c>
      <c r="V41" s="12">
        <v>0</v>
      </c>
      <c r="W41" s="54">
        <v>0</v>
      </c>
      <c r="X41" s="12">
        <v>0</v>
      </c>
      <c r="Y41" s="12">
        <v>0</v>
      </c>
      <c r="Z41" s="12">
        <v>0</v>
      </c>
    </row>
    <row r="42" spans="1:26" ht="21.75" customHeight="1">
      <c r="A42" s="7">
        <v>8</v>
      </c>
      <c r="B42" s="20" t="s">
        <v>35</v>
      </c>
      <c r="C42" s="24"/>
      <c r="D42" s="24">
        <f>C12/C45</f>
        <v>69.71159320524572</v>
      </c>
      <c r="E42" s="146"/>
      <c r="F42" s="24">
        <f>E12/E45</f>
        <v>69.895424744631399</v>
      </c>
      <c r="G42" s="12"/>
      <c r="H42" s="144"/>
      <c r="I42" s="146"/>
      <c r="J42" s="24">
        <f>I12/I45</f>
        <v>69.711593205245734</v>
      </c>
      <c r="K42" s="148"/>
      <c r="L42" s="24">
        <f>K12/K45</f>
        <v>69.895424744631399</v>
      </c>
      <c r="M42" s="24"/>
      <c r="N42" s="24"/>
      <c r="O42" s="30"/>
      <c r="P42" s="24">
        <f>O12/O45</f>
        <v>69.711593205245734</v>
      </c>
      <c r="Q42" s="30"/>
      <c r="R42" s="24">
        <f>Q12/Q45</f>
        <v>69.895424744631413</v>
      </c>
      <c r="S42" s="24"/>
      <c r="T42" s="24"/>
      <c r="U42" s="30"/>
      <c r="V42" s="24">
        <f>U12/U45</f>
        <v>69.71159320524572</v>
      </c>
      <c r="W42" s="148"/>
      <c r="X42" s="24">
        <f>W12/W45</f>
        <v>69.895424744631399</v>
      </c>
      <c r="Y42" s="12"/>
      <c r="Z42" s="12"/>
    </row>
    <row r="43" spans="1:26" ht="14.25" customHeight="1">
      <c r="A43" s="10">
        <v>9</v>
      </c>
      <c r="B43" s="21" t="s">
        <v>36</v>
      </c>
      <c r="C43" s="35"/>
      <c r="D43" s="35">
        <f>C35/C44</f>
        <v>153.91524224981777</v>
      </c>
      <c r="E43" s="35"/>
      <c r="F43" s="35">
        <f>E35/E44</f>
        <v>213.28890855441614</v>
      </c>
      <c r="G43" s="32"/>
      <c r="H43" s="147"/>
      <c r="I43" s="32"/>
      <c r="J43" s="35">
        <f ca="1">I35/в1</f>
        <v>153.91524224981777</v>
      </c>
      <c r="K43" s="149"/>
      <c r="L43" s="35">
        <f ca="1">K35/г1</f>
        <v>213.28890855441614</v>
      </c>
      <c r="M43" s="32"/>
      <c r="N43" s="32"/>
      <c r="O43" s="152"/>
      <c r="P43" s="35">
        <f>O35/O44</f>
        <v>153.91524224981777</v>
      </c>
      <c r="Q43" s="152"/>
      <c r="R43" s="35">
        <f>Q35/Q44</f>
        <v>213.28890855441614</v>
      </c>
      <c r="S43" s="32"/>
      <c r="T43" s="32"/>
      <c r="U43" s="155"/>
      <c r="V43" s="35">
        <f>U35/U44</f>
        <v>153.91524224981777</v>
      </c>
      <c r="W43" s="58"/>
      <c r="X43" s="35">
        <f>W35/W44</f>
        <v>213.28890855441608</v>
      </c>
      <c r="Y43" s="32"/>
      <c r="Z43" s="32"/>
    </row>
    <row r="44" spans="1:26" ht="10.5" customHeight="1">
      <c r="A44" s="11">
        <v>10</v>
      </c>
      <c r="B44" s="18" t="s">
        <v>74</v>
      </c>
      <c r="C44" s="186">
        <f ca="1">в1+в2+в3</f>
        <v>251.71763000000001</v>
      </c>
      <c r="D44" s="191"/>
      <c r="E44" s="36">
        <f>K44+Q44+W44</f>
        <v>226.62329999999997</v>
      </c>
      <c r="F44" s="12"/>
      <c r="G44" s="12"/>
      <c r="H44" s="144"/>
      <c r="I44" s="36">
        <v>201.64922000000001</v>
      </c>
      <c r="J44" s="12"/>
      <c r="K44" s="186">
        <v>178.7585</v>
      </c>
      <c r="L44" s="12"/>
      <c r="M44" s="12"/>
      <c r="N44" s="12"/>
      <c r="O44" s="195">
        <v>28.42502</v>
      </c>
      <c r="P44" s="12"/>
      <c r="Q44" s="151">
        <v>29.7925</v>
      </c>
      <c r="R44" s="12"/>
      <c r="S44" s="12"/>
      <c r="T44" s="12"/>
      <c r="U44" s="195">
        <v>21.64339</v>
      </c>
      <c r="V44" s="12"/>
      <c r="W44" s="55">
        <v>18.072299999999998</v>
      </c>
      <c r="X44" s="12"/>
      <c r="Y44" s="12"/>
      <c r="Z44" s="12"/>
    </row>
    <row r="45" spans="1:26" ht="10.5" customHeight="1">
      <c r="A45" s="13">
        <v>11</v>
      </c>
      <c r="B45" s="18" t="s">
        <v>75</v>
      </c>
      <c r="C45" s="186">
        <v>281.90805999999998</v>
      </c>
      <c r="D45" s="12"/>
      <c r="E45" s="36">
        <f ca="1">278.161071/233.5368*г</f>
        <v>269.92653766581668</v>
      </c>
      <c r="F45" s="12"/>
      <c r="G45" s="12"/>
      <c r="H45" s="144"/>
      <c r="I45" s="36">
        <f ca="1">C45/в*в1</f>
        <v>225.83456077634764</v>
      </c>
      <c r="J45" s="36"/>
      <c r="K45" s="192">
        <f ca="1">E45/г*г1</f>
        <v>212.91571953693594</v>
      </c>
      <c r="L45" s="36"/>
      <c r="M45" s="36"/>
      <c r="N45" s="36"/>
      <c r="O45" s="193">
        <f ca="1">C45/в*в2</f>
        <v>31.834251115669563</v>
      </c>
      <c r="P45" s="36"/>
      <c r="Q45" s="194">
        <f ca="1">E45/г*г2</f>
        <v>35.48525845934131</v>
      </c>
      <c r="R45" s="36"/>
      <c r="S45" s="36"/>
      <c r="T45" s="36"/>
      <c r="U45" s="195">
        <f ca="1">C45/в*в3</f>
        <v>24.239248107982739</v>
      </c>
      <c r="V45" s="12"/>
      <c r="W45" s="36">
        <f ca="1">E45/г*г3</f>
        <v>21.525559669539444</v>
      </c>
      <c r="X45" s="12"/>
      <c r="Y45" s="12"/>
      <c r="Z45" s="12"/>
    </row>
    <row r="46" spans="1:26">
      <c r="B46" s="50"/>
      <c r="C46" s="190"/>
      <c r="K46" s="184"/>
    </row>
    <row r="47" spans="1:26" ht="15.6">
      <c r="B47" s="198" t="s">
        <v>237</v>
      </c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6"/>
      <c r="P47" s="6"/>
      <c r="Q47" s="6"/>
      <c r="R47" s="196"/>
      <c r="S47" s="196"/>
    </row>
    <row r="48" spans="1:26">
      <c r="B48" s="50"/>
      <c r="C48" s="50"/>
      <c r="K48" s="59"/>
    </row>
    <row r="49" spans="2:7" ht="36.75" customHeight="1">
      <c r="B49" s="60" t="s">
        <v>236</v>
      </c>
      <c r="C49" s="51"/>
      <c r="D49" s="1"/>
      <c r="G49">
        <f>2594.72+24460.6+18866.63+2374.87227+30.55324+8.8466</f>
        <v>48336.222109999995</v>
      </c>
    </row>
    <row r="50" spans="2:7">
      <c r="B50" s="51"/>
      <c r="C50" s="51"/>
      <c r="D50" s="1"/>
    </row>
    <row r="51" spans="2:7">
      <c r="B51" s="51"/>
      <c r="C51" s="51"/>
      <c r="D51" s="1"/>
    </row>
    <row r="52" spans="2:7">
      <c r="B52" s="51"/>
      <c r="C52" s="51"/>
    </row>
    <row r="53" spans="2:7">
      <c r="B53" s="50"/>
      <c r="C53" s="50"/>
    </row>
    <row r="54" spans="2:7">
      <c r="B54" s="50"/>
      <c r="C54" s="50"/>
    </row>
    <row r="55" spans="2:7">
      <c r="B55" s="50"/>
      <c r="C55" s="50"/>
    </row>
  </sheetData>
  <mergeCells count="12">
    <mergeCell ref="B47:N47"/>
    <mergeCell ref="B1:O4"/>
    <mergeCell ref="O5:P5"/>
    <mergeCell ref="K5:L5"/>
    <mergeCell ref="U4:W4"/>
    <mergeCell ref="U5:V5"/>
    <mergeCell ref="W5:X5"/>
    <mergeCell ref="Q5:R5"/>
    <mergeCell ref="A5:A6"/>
    <mergeCell ref="C5:D5"/>
    <mergeCell ref="E5:F5"/>
    <mergeCell ref="I5:J5"/>
  </mergeCells>
  <phoneticPr fontId="14" type="noConversion"/>
  <pageMargins left="0.3" right="0.2" top="0.45" bottom="0.22" header="0.19" footer="0.19"/>
  <pageSetup paperSize="9" scale="7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5"/>
  <sheetViews>
    <sheetView zoomScale="125" zoomScaleNormal="125" workbookViewId="0">
      <pane xSplit="2" ySplit="5" topLeftCell="L6" activePane="bottomRight" state="frozen"/>
      <selection pane="topRight" activeCell="C1" sqref="C1"/>
      <selection pane="bottomLeft" activeCell="A6" sqref="A6"/>
      <selection pane="bottomRight" activeCell="T42" sqref="T42"/>
    </sheetView>
  </sheetViews>
  <sheetFormatPr defaultRowHeight="14.4"/>
  <cols>
    <col min="1" max="1" width="6.33203125" style="4" customWidth="1"/>
    <col min="2" max="2" width="24.88671875" customWidth="1"/>
    <col min="3" max="3" width="6.44140625" customWidth="1"/>
    <col min="4" max="4" width="6.6640625" customWidth="1"/>
    <col min="5" max="5" width="6.88671875" customWidth="1"/>
    <col min="6" max="6" width="5.44140625" customWidth="1"/>
    <col min="7" max="7" width="6.6640625" customWidth="1"/>
    <col min="8" max="8" width="6.5546875" customWidth="1"/>
    <col min="9" max="10" width="7" customWidth="1"/>
    <col min="11" max="11" width="6.33203125" customWidth="1"/>
    <col min="12" max="12" width="5.88671875" customWidth="1"/>
    <col min="13" max="13" width="6.5546875" customWidth="1"/>
    <col min="14" max="14" width="6.44140625" customWidth="1"/>
    <col min="15" max="15" width="6.5546875" customWidth="1"/>
    <col min="16" max="16" width="5.44140625" customWidth="1"/>
    <col min="17" max="17" width="7" customWidth="1"/>
    <col min="18" max="18" width="7.44140625" customWidth="1"/>
    <col min="19" max="22" width="6.5546875" customWidth="1"/>
    <col min="23" max="23" width="7" customWidth="1"/>
    <col min="24" max="24" width="7.5546875" customWidth="1"/>
    <col min="25" max="28" width="6.5546875" customWidth="1"/>
    <col min="29" max="30" width="7.109375" customWidth="1"/>
    <col min="31" max="34" width="6.5546875" customWidth="1"/>
    <col min="35" max="35" width="7.33203125" customWidth="1"/>
    <col min="36" max="36" width="7.5546875" customWidth="1"/>
  </cols>
  <sheetData>
    <row r="1" spans="1:36" ht="15" customHeight="1">
      <c r="A1" s="2"/>
      <c r="B1" s="208" t="s">
        <v>223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</row>
    <row r="2" spans="1:36" ht="15.6">
      <c r="A2" s="3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</row>
    <row r="3" spans="1:36" ht="15.6" hidden="1">
      <c r="A3" s="3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</row>
    <row r="4" spans="1:36" ht="15" hidden="1" customHeight="1">
      <c r="A4" s="3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AE4" s="206"/>
      <c r="AF4" s="206"/>
      <c r="AG4" s="206"/>
    </row>
    <row r="5" spans="1:36" s="1" customFormat="1" ht="37.5" customHeight="1">
      <c r="A5" s="201" t="s">
        <v>0</v>
      </c>
      <c r="B5" s="42" t="s">
        <v>1</v>
      </c>
      <c r="C5" s="42" t="s">
        <v>224</v>
      </c>
      <c r="D5" s="42" t="s">
        <v>225</v>
      </c>
      <c r="E5" s="42" t="s">
        <v>226</v>
      </c>
      <c r="F5" s="42" t="s">
        <v>227</v>
      </c>
      <c r="G5" s="42" t="s">
        <v>228</v>
      </c>
      <c r="H5" s="42" t="s">
        <v>229</v>
      </c>
      <c r="I5" s="42" t="s">
        <v>230</v>
      </c>
      <c r="J5" s="42" t="s">
        <v>231</v>
      </c>
      <c r="K5" s="42" t="s">
        <v>233</v>
      </c>
      <c r="L5" s="42" t="s">
        <v>232</v>
      </c>
      <c r="M5" s="207" t="s">
        <v>2</v>
      </c>
      <c r="N5" s="207"/>
      <c r="O5" s="207" t="s">
        <v>77</v>
      </c>
      <c r="P5" s="207"/>
      <c r="Q5" s="42" t="s">
        <v>66</v>
      </c>
      <c r="R5" s="42" t="s">
        <v>70</v>
      </c>
      <c r="S5" s="207" t="s">
        <v>3</v>
      </c>
      <c r="T5" s="207"/>
      <c r="U5" s="207" t="s">
        <v>78</v>
      </c>
      <c r="V5" s="207"/>
      <c r="W5" s="42" t="s">
        <v>67</v>
      </c>
      <c r="X5" s="42" t="s">
        <v>71</v>
      </c>
      <c r="Y5" s="207" t="s">
        <v>4</v>
      </c>
      <c r="Z5" s="207"/>
      <c r="AA5" s="207" t="s">
        <v>79</v>
      </c>
      <c r="AB5" s="207"/>
      <c r="AC5" s="42" t="s">
        <v>68</v>
      </c>
      <c r="AD5" s="42" t="s">
        <v>72</v>
      </c>
      <c r="AE5" s="207" t="s">
        <v>5</v>
      </c>
      <c r="AF5" s="207"/>
      <c r="AG5" s="207" t="s">
        <v>80</v>
      </c>
      <c r="AH5" s="207"/>
      <c r="AI5" s="42" t="s">
        <v>69</v>
      </c>
      <c r="AJ5" s="42" t="s">
        <v>73</v>
      </c>
    </row>
    <row r="6" spans="1:36" ht="17.25" hidden="1" customHeight="1">
      <c r="A6" s="20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56" t="s">
        <v>6</v>
      </c>
      <c r="N6" s="42" t="s">
        <v>7</v>
      </c>
      <c r="O6" s="42" t="s">
        <v>6</v>
      </c>
      <c r="P6" s="42" t="s">
        <v>7</v>
      </c>
      <c r="Q6" s="42" t="s">
        <v>6</v>
      </c>
      <c r="R6" s="42" t="s">
        <v>65</v>
      </c>
      <c r="S6" s="42" t="s">
        <v>6</v>
      </c>
      <c r="T6" s="42" t="s">
        <v>7</v>
      </c>
      <c r="U6" s="56" t="s">
        <v>6</v>
      </c>
      <c r="V6" s="42" t="s">
        <v>7</v>
      </c>
      <c r="W6" s="42" t="s">
        <v>6</v>
      </c>
      <c r="X6" s="42" t="s">
        <v>65</v>
      </c>
      <c r="Y6" s="42" t="s">
        <v>6</v>
      </c>
      <c r="Z6" s="42" t="s">
        <v>7</v>
      </c>
      <c r="AA6" s="56" t="s">
        <v>6</v>
      </c>
      <c r="AB6" s="42" t="s">
        <v>7</v>
      </c>
      <c r="AC6" s="42" t="s">
        <v>6</v>
      </c>
      <c r="AD6" s="42" t="s">
        <v>65</v>
      </c>
      <c r="AE6" s="42" t="s">
        <v>6</v>
      </c>
      <c r="AF6" s="42" t="s">
        <v>7</v>
      </c>
      <c r="AG6" s="56" t="s">
        <v>6</v>
      </c>
      <c r="AH6" s="12" t="s">
        <v>7</v>
      </c>
      <c r="AI6" s="42" t="s">
        <v>6</v>
      </c>
      <c r="AJ6" s="48" t="s">
        <v>65</v>
      </c>
    </row>
    <row r="7" spans="1:36" ht="10.5" customHeight="1">
      <c r="A7" s="156">
        <v>1</v>
      </c>
      <c r="B7" s="157">
        <v>2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8">
        <v>3</v>
      </c>
      <c r="N7" s="158">
        <v>4</v>
      </c>
      <c r="O7" s="158">
        <v>5</v>
      </c>
      <c r="P7" s="158">
        <v>6</v>
      </c>
      <c r="Q7" s="158">
        <v>7</v>
      </c>
      <c r="R7" s="159">
        <v>8</v>
      </c>
      <c r="S7" s="158">
        <v>9</v>
      </c>
      <c r="T7" s="158">
        <v>10</v>
      </c>
      <c r="U7" s="158">
        <v>11</v>
      </c>
      <c r="V7" s="158">
        <v>12</v>
      </c>
      <c r="W7" s="158">
        <v>13</v>
      </c>
      <c r="X7" s="158">
        <v>14</v>
      </c>
      <c r="Y7" s="160">
        <v>15</v>
      </c>
      <c r="Z7" s="158">
        <v>16</v>
      </c>
      <c r="AA7" s="160">
        <v>17</v>
      </c>
      <c r="AB7" s="158">
        <v>18</v>
      </c>
      <c r="AC7" s="158">
        <v>19</v>
      </c>
      <c r="AD7" s="158">
        <v>20</v>
      </c>
      <c r="AE7" s="160">
        <v>21</v>
      </c>
      <c r="AF7" s="158">
        <v>22</v>
      </c>
      <c r="AG7" s="158">
        <v>23</v>
      </c>
      <c r="AH7" s="158">
        <v>24</v>
      </c>
      <c r="AI7" s="158">
        <v>25</v>
      </c>
      <c r="AJ7" s="161">
        <v>26</v>
      </c>
    </row>
    <row r="8" spans="1:36" ht="10.5" customHeight="1">
      <c r="A8" s="7">
        <v>1</v>
      </c>
      <c r="B8" s="14" t="s">
        <v>8</v>
      </c>
      <c r="C8" s="162">
        <f t="shared" ref="C8:J8" si="0">C9+C21</f>
        <v>586.67333333333329</v>
      </c>
      <c r="D8" s="162">
        <f t="shared" si="0"/>
        <v>436.80208333333326</v>
      </c>
      <c r="E8" s="162">
        <f t="shared" si="0"/>
        <v>319.8058333333334</v>
      </c>
      <c r="F8" s="162">
        <f t="shared" si="0"/>
        <v>243.50583333333333</v>
      </c>
      <c r="G8" s="162">
        <f t="shared" si="0"/>
        <v>3313.7474999999995</v>
      </c>
      <c r="H8" s="162">
        <f t="shared" si="0"/>
        <v>2523.1424999999999</v>
      </c>
      <c r="I8" s="162">
        <f t="shared" si="0"/>
        <v>6242.8549999999996</v>
      </c>
      <c r="J8" s="162">
        <f t="shared" si="0"/>
        <v>23507.977500000001</v>
      </c>
      <c r="K8" s="162">
        <f>SUM(C8:J8)</f>
        <v>37174.509583333333</v>
      </c>
      <c r="L8" s="162">
        <f t="shared" ref="L8:L42" ca="1" si="1">K8/О</f>
        <v>147.68337673977518</v>
      </c>
      <c r="M8" s="12">
        <f>M9+M21</f>
        <v>39126.120000000003</v>
      </c>
      <c r="N8" s="24">
        <f t="shared" ref="N8:N35" ca="1" si="2">M8/в</f>
        <v>155.43655007398567</v>
      </c>
      <c r="O8" s="29">
        <f>O9+O21</f>
        <v>34575.599999999999</v>
      </c>
      <c r="P8" s="24">
        <f t="shared" ref="P8:P35" ca="1" si="3">O8/в</f>
        <v>137.35867447981295</v>
      </c>
      <c r="Q8" s="24">
        <f>O8-M8</f>
        <v>-4550.5200000000041</v>
      </c>
      <c r="R8" s="145">
        <f>Q8/M8*100</f>
        <v>-11.630389110905973</v>
      </c>
      <c r="S8" s="24">
        <f t="shared" ref="S8:S35" ca="1" si="4">M8/в*в1</f>
        <v>31343.659081910155</v>
      </c>
      <c r="T8" s="24">
        <f t="shared" ref="T8:T35" ca="1" si="5">S8/в1</f>
        <v>155.43655007398567</v>
      </c>
      <c r="U8" s="24">
        <f>U9+U21</f>
        <v>26605.276165910644</v>
      </c>
      <c r="V8" s="24">
        <f t="shared" ref="V8:V35" ca="1" si="6">U8/в1</f>
        <v>131.93840355995744</v>
      </c>
      <c r="W8" s="24">
        <f>U8-S8</f>
        <v>-4738.3829159995112</v>
      </c>
      <c r="X8" s="24">
        <f>W8/S8*100</f>
        <v>-15.117516763491876</v>
      </c>
      <c r="Y8" s="150">
        <f t="shared" ref="Y8:Y35" ca="1" si="7">M8/в*в2</f>
        <v>4418.2870445840445</v>
      </c>
      <c r="Z8" s="24">
        <f t="shared" ref="Z8:Z35" ca="1" si="8">Y8/в2</f>
        <v>155.43655007398567</v>
      </c>
      <c r="AA8" s="150">
        <f>AA9+AA21</f>
        <v>4697.6918853212364</v>
      </c>
      <c r="AB8" s="24">
        <f t="shared" ref="AB8:AB35" ca="1" si="9">AA8/в2</f>
        <v>165.26608900613743</v>
      </c>
      <c r="AC8" s="24">
        <f>AA8-Y8</f>
        <v>279.40484073719199</v>
      </c>
      <c r="AD8" s="24">
        <f>AC8/Y8*100</f>
        <v>6.323827264226475</v>
      </c>
      <c r="AE8" s="150">
        <f t="shared" ref="AE8:AE34" ca="1" si="10">M8/в*в3</f>
        <v>3364.1738735058007</v>
      </c>
      <c r="AF8" s="24">
        <f t="shared" ref="AF8:AF35" ca="1" si="11">AE8/в3</f>
        <v>155.43655007398567</v>
      </c>
      <c r="AG8" s="24">
        <f>AG9+AG21</f>
        <v>3272.6319487681226</v>
      </c>
      <c r="AH8" s="24">
        <f ca="1">AG8/а3</f>
        <v>151.206994318733</v>
      </c>
      <c r="AI8" s="24">
        <f>AG8-AE8</f>
        <v>-91.541924737678073</v>
      </c>
      <c r="AJ8" s="24">
        <f>AI8/AE8*100</f>
        <v>-2.7210818518806925</v>
      </c>
    </row>
    <row r="9" spans="1:36" ht="10.5" customHeight="1">
      <c r="A9" s="7" t="s">
        <v>37</v>
      </c>
      <c r="B9" s="15" t="s">
        <v>9</v>
      </c>
      <c r="C9" s="162">
        <f t="shared" ref="C9:J9" si="12">C11+C12+C15+C16+C17</f>
        <v>556.20333333333326</v>
      </c>
      <c r="D9" s="162">
        <f t="shared" si="12"/>
        <v>423.50166666666661</v>
      </c>
      <c r="E9" s="162">
        <f t="shared" si="12"/>
        <v>304.57083333333338</v>
      </c>
      <c r="F9" s="162">
        <f t="shared" si="12"/>
        <v>231.905</v>
      </c>
      <c r="G9" s="162">
        <f t="shared" si="12"/>
        <v>3176.6324999999997</v>
      </c>
      <c r="H9" s="162">
        <f t="shared" si="12"/>
        <v>2418.7350000000001</v>
      </c>
      <c r="I9" s="162">
        <f t="shared" si="12"/>
        <v>5918.5999999999995</v>
      </c>
      <c r="J9" s="162">
        <f t="shared" si="12"/>
        <v>22535.212500000001</v>
      </c>
      <c r="K9" s="162">
        <f t="shared" ref="K9:K43" si="13">SUM(C9:J9)</f>
        <v>35565.36083333334</v>
      </c>
      <c r="L9" s="162">
        <f t="shared" ca="1" si="1"/>
        <v>141.29070273438273</v>
      </c>
      <c r="M9" s="29">
        <f>M11+M12+M15+M16+M17</f>
        <v>37507.07</v>
      </c>
      <c r="N9" s="24">
        <f t="shared" ca="1" si="2"/>
        <v>149.00454131877851</v>
      </c>
      <c r="O9" s="29">
        <f>O11+O12+O15+O16+O17</f>
        <v>32198.2</v>
      </c>
      <c r="P9" s="24">
        <f t="shared" ca="1" si="3"/>
        <v>127.91396454829167</v>
      </c>
      <c r="Q9" s="24">
        <f>O9-M9</f>
        <v>-5308.869999999999</v>
      </c>
      <c r="R9" s="145">
        <f>Q9/M9*100</f>
        <v>-14.154318105893099</v>
      </c>
      <c r="S9" s="24">
        <f t="shared" ca="1" si="4"/>
        <v>30046.64953338946</v>
      </c>
      <c r="T9" s="24">
        <f t="shared" ca="1" si="5"/>
        <v>149.00454131877851</v>
      </c>
      <c r="U9" s="24">
        <f>U11+U12+U15+U16+U17</f>
        <v>24775.911424392463</v>
      </c>
      <c r="V9" s="24">
        <f t="shared" ca="1" si="6"/>
        <v>122.86638859496934</v>
      </c>
      <c r="W9" s="24">
        <f>U9-S9</f>
        <v>-5270.7381089969967</v>
      </c>
      <c r="X9" s="24">
        <f>W9/S9*100</f>
        <v>-17.541849726505674</v>
      </c>
      <c r="Y9" s="150">
        <f t="shared" ca="1" si="7"/>
        <v>4235.4570670771054</v>
      </c>
      <c r="Z9" s="24">
        <f t="shared" ca="1" si="8"/>
        <v>149.00454131877851</v>
      </c>
      <c r="AA9" s="150">
        <f>AA11+AA12+AA15+AA16+AA17</f>
        <v>4374.6810716791679</v>
      </c>
      <c r="AB9" s="24">
        <f t="shared" ca="1" si="9"/>
        <v>153.9024799869681</v>
      </c>
      <c r="AC9" s="24">
        <f>AA9-Y9</f>
        <v>139.22400460206245</v>
      </c>
      <c r="AD9" s="24">
        <f>AC9/Y9*100</f>
        <v>3.2871069732774116</v>
      </c>
      <c r="AE9" s="150">
        <f t="shared" ca="1" si="10"/>
        <v>3224.9633995334375</v>
      </c>
      <c r="AF9" s="24">
        <f t="shared" ca="1" si="11"/>
        <v>149.00454131877851</v>
      </c>
      <c r="AG9" s="24">
        <f>AG11+AG12+AG15+AG16+AG17</f>
        <v>3047.6075039283705</v>
      </c>
      <c r="AH9" s="24">
        <f ca="1">AG9/а3</f>
        <v>140.81008122703378</v>
      </c>
      <c r="AI9" s="24">
        <f>AG9-AE9</f>
        <v>-177.35589560506696</v>
      </c>
      <c r="AJ9" s="24">
        <f>AI9/AE9*100</f>
        <v>-5.4994700290466998</v>
      </c>
    </row>
    <row r="10" spans="1:36" ht="10.5" customHeight="1">
      <c r="A10" s="8" t="s">
        <v>38</v>
      </c>
      <c r="B10" s="16" t="s">
        <v>10</v>
      </c>
      <c r="C10" s="16"/>
      <c r="D10" s="176"/>
      <c r="E10" s="176"/>
      <c r="F10" s="176"/>
      <c r="G10" s="176"/>
      <c r="H10" s="176"/>
      <c r="I10" s="176"/>
      <c r="J10" s="176"/>
      <c r="K10" s="162">
        <f t="shared" si="13"/>
        <v>0</v>
      </c>
      <c r="L10" s="162">
        <f t="shared" ca="1" si="1"/>
        <v>0</v>
      </c>
      <c r="M10" s="12"/>
      <c r="N10" s="24">
        <f t="shared" ca="1" si="2"/>
        <v>0</v>
      </c>
      <c r="O10" s="163">
        <v>0</v>
      </c>
      <c r="P10" s="24">
        <f t="shared" ca="1" si="3"/>
        <v>0</v>
      </c>
      <c r="Q10" s="12"/>
      <c r="R10" s="144"/>
      <c r="S10" s="24">
        <f t="shared" ca="1" si="4"/>
        <v>0</v>
      </c>
      <c r="T10" s="24">
        <f t="shared" ca="1" si="5"/>
        <v>0</v>
      </c>
      <c r="U10" s="24"/>
      <c r="V10" s="24">
        <f t="shared" ca="1" si="6"/>
        <v>0</v>
      </c>
      <c r="W10" s="12"/>
      <c r="X10" s="12"/>
      <c r="Y10" s="150">
        <f t="shared" ca="1" si="7"/>
        <v>0</v>
      </c>
      <c r="Z10" s="24">
        <f t="shared" ca="1" si="8"/>
        <v>0</v>
      </c>
      <c r="AA10" s="150"/>
      <c r="AB10" s="24">
        <f t="shared" ca="1" si="9"/>
        <v>0</v>
      </c>
      <c r="AC10" s="12"/>
      <c r="AD10" s="12"/>
      <c r="AE10" s="150">
        <f t="shared" ca="1" si="10"/>
        <v>0</v>
      </c>
      <c r="AF10" s="24">
        <f t="shared" ca="1" si="11"/>
        <v>0</v>
      </c>
      <c r="AG10" s="24"/>
      <c r="AH10" s="24"/>
      <c r="AI10" s="12"/>
      <c r="AJ10" s="12"/>
    </row>
    <row r="11" spans="1:36" ht="10.5" customHeight="1">
      <c r="A11" s="8" t="s">
        <v>39</v>
      </c>
      <c r="B11" s="16" t="s">
        <v>11</v>
      </c>
      <c r="C11" s="176">
        <f>377.73/12*2</f>
        <v>62.955000000000005</v>
      </c>
      <c r="D11" s="176">
        <f>287.61/12*2</f>
        <v>47.935000000000002</v>
      </c>
      <c r="E11" s="176">
        <f>507.54/12</f>
        <v>42.295000000000002</v>
      </c>
      <c r="F11" s="176">
        <f>386.45/12</f>
        <v>32.204166666666666</v>
      </c>
      <c r="G11" s="176">
        <f>507.54/12*9</f>
        <v>380.65500000000003</v>
      </c>
      <c r="H11" s="176">
        <f>386.45/12*9</f>
        <v>289.83749999999998</v>
      </c>
      <c r="I11" s="176">
        <f>2679.66/12*3</f>
        <v>669.91499999999996</v>
      </c>
      <c r="J11" s="176">
        <f>3600.57/12*9</f>
        <v>2700.4275000000002</v>
      </c>
      <c r="K11" s="162">
        <f t="shared" si="13"/>
        <v>4226.2241666666669</v>
      </c>
      <c r="L11" s="162">
        <f t="shared" ca="1" si="1"/>
        <v>16.789543770401252</v>
      </c>
      <c r="M11" s="54">
        <f>3600.57+507.54+386.45</f>
        <v>4494.5600000000004</v>
      </c>
      <c r="N11" s="24">
        <f t="shared" ca="1" si="2"/>
        <v>17.855562997315683</v>
      </c>
      <c r="O11" s="29">
        <v>4867.2</v>
      </c>
      <c r="P11" s="24">
        <f t="shared" ca="1" si="3"/>
        <v>19.335951955371577</v>
      </c>
      <c r="Q11" s="12">
        <f>O11-M11</f>
        <v>372.63999999999942</v>
      </c>
      <c r="R11" s="145">
        <f>Q11/M11*100</f>
        <v>8.2909116798974622</v>
      </c>
      <c r="S11" s="24">
        <f t="shared" ca="1" si="4"/>
        <v>3600.5603510695701</v>
      </c>
      <c r="T11" s="24">
        <f t="shared" ca="1" si="5"/>
        <v>17.855562997315683</v>
      </c>
      <c r="U11" s="24">
        <f ca="1">O11/г*г1</f>
        <v>3745.2191763764122</v>
      </c>
      <c r="V11" s="24">
        <f t="shared" ca="1" si="6"/>
        <v>18.572941548578328</v>
      </c>
      <c r="W11" s="24">
        <f>U11-S11</f>
        <v>144.65882530684212</v>
      </c>
      <c r="X11" s="24">
        <f>W11/S11*100</f>
        <v>4.0176753394473792</v>
      </c>
      <c r="Y11" s="150">
        <f t="shared" ca="1" si="7"/>
        <v>507.54473530995824</v>
      </c>
      <c r="Z11" s="24">
        <f t="shared" ca="1" si="8"/>
        <v>17.855562997315683</v>
      </c>
      <c r="AA11" s="24">
        <f ca="1">O11/г*г2</f>
        <v>661.29310682202254</v>
      </c>
      <c r="AB11" s="24">
        <f t="shared" ca="1" si="9"/>
        <v>23.264472877135091</v>
      </c>
      <c r="AC11" s="24">
        <f>AA11-Y11</f>
        <v>153.7483715120643</v>
      </c>
      <c r="AD11" s="24">
        <f>AC11/Y11*100</f>
        <v>30.292575376271014</v>
      </c>
      <c r="AE11" s="150">
        <f t="shared" ca="1" si="10"/>
        <v>386.45491362047227</v>
      </c>
      <c r="AF11" s="24">
        <f t="shared" ca="1" si="11"/>
        <v>17.855562997315683</v>
      </c>
      <c r="AG11" s="150">
        <f ca="1">O11/г*г3</f>
        <v>460.68771680156539</v>
      </c>
      <c r="AH11" s="24">
        <f ca="1">AG11/а3</f>
        <v>21.285377050525142</v>
      </c>
      <c r="AI11" s="24">
        <f>AG11-AE11</f>
        <v>74.232803181093118</v>
      </c>
      <c r="AJ11" s="24">
        <f>AI11/AE11*100</f>
        <v>19.208658129262474</v>
      </c>
    </row>
    <row r="12" spans="1:36" ht="30.75" customHeight="1">
      <c r="A12" s="8" t="s">
        <v>40</v>
      </c>
      <c r="B12" s="17" t="s">
        <v>12</v>
      </c>
      <c r="C12" s="182">
        <f>2003.01/12*2</f>
        <v>333.83499999999998</v>
      </c>
      <c r="D12" s="182">
        <f>1525.13/12*2</f>
        <v>254.18833333333336</v>
      </c>
      <c r="E12" s="182">
        <f>2190.83/12</f>
        <v>182.56916666666666</v>
      </c>
      <c r="F12" s="182">
        <f>1668.14/12</f>
        <v>139.01166666666668</v>
      </c>
      <c r="G12" s="182">
        <f>2771.49/12*9</f>
        <v>2078.6174999999998</v>
      </c>
      <c r="H12" s="182">
        <f>2110.26/12*9</f>
        <v>1582.6950000000002</v>
      </c>
      <c r="I12" s="182">
        <f>14209.51/12*3</f>
        <v>3552.3774999999996</v>
      </c>
      <c r="J12" s="182">
        <f>19661.15/12*9</f>
        <v>14745.862500000001</v>
      </c>
      <c r="K12" s="162">
        <f t="shared" si="13"/>
        <v>22869.156666666666</v>
      </c>
      <c r="L12" s="162">
        <f t="shared" ca="1" si="1"/>
        <v>90.852423275503853</v>
      </c>
      <c r="M12" s="54">
        <f>19661.15+2771.49+2110.26</f>
        <v>24542.9</v>
      </c>
      <c r="N12" s="24">
        <f t="shared" ca="1" si="2"/>
        <v>97.501712534000902</v>
      </c>
      <c r="O12" s="12">
        <v>20574</v>
      </c>
      <c r="P12" s="24">
        <f t="shared" ca="1" si="3"/>
        <v>81.734441882358411</v>
      </c>
      <c r="Q12" s="24">
        <f>O12-M12</f>
        <v>-3968.9000000000015</v>
      </c>
      <c r="R12" s="145">
        <f>Q12/M12*100</f>
        <v>-16.17127560312759</v>
      </c>
      <c r="S12" s="24">
        <f t="shared" ca="1" si="4"/>
        <v>19661.144281145505</v>
      </c>
      <c r="T12" s="24">
        <f t="shared" ca="1" si="5"/>
        <v>97.501712534000902</v>
      </c>
      <c r="U12" s="24">
        <f ca="1">O12/г*г1</f>
        <v>15831.307391265676</v>
      </c>
      <c r="V12" s="24">
        <f t="shared" ca="1" si="6"/>
        <v>78.509142714589601</v>
      </c>
      <c r="W12" s="24">
        <f>U12-S12</f>
        <v>-3829.836889879829</v>
      </c>
      <c r="X12" s="24">
        <f>W12/S12*100</f>
        <v>-19.479216647387794</v>
      </c>
      <c r="Y12" s="150">
        <f t="shared" ca="1" si="7"/>
        <v>2771.4881288132265</v>
      </c>
      <c r="Z12" s="24">
        <f t="shared" ca="1" si="8"/>
        <v>97.501712534000902</v>
      </c>
      <c r="AA12" s="24">
        <f ca="1">O12/г*г2</f>
        <v>2795.3329182602506</v>
      </c>
      <c r="AB12" s="24">
        <f t="shared" ca="1" si="9"/>
        <v>98.340578766883908</v>
      </c>
      <c r="AC12" s="24">
        <f>AA12-Y12</f>
        <v>23.844789447024141</v>
      </c>
      <c r="AD12" s="24">
        <f>AC12/Y12*100</f>
        <v>0.86036051170945016</v>
      </c>
      <c r="AE12" s="150">
        <f t="shared" ca="1" si="10"/>
        <v>2110.2675900412696</v>
      </c>
      <c r="AF12" s="24">
        <f t="shared" ca="1" si="11"/>
        <v>97.501712534000887</v>
      </c>
      <c r="AG12" s="150">
        <f ca="1">O12/г*г3</f>
        <v>1947.3596904740727</v>
      </c>
      <c r="AH12" s="24">
        <f ca="1">AG12/а3</f>
        <v>89.97480018028935</v>
      </c>
      <c r="AI12" s="24">
        <f>AG12-AE12</f>
        <v>-162.90789956719686</v>
      </c>
      <c r="AJ12" s="24">
        <f>AI12/AE12*100</f>
        <v>-7.7197745127674038</v>
      </c>
    </row>
    <row r="13" spans="1:36" ht="26.25" customHeight="1">
      <c r="A13" s="8" t="s">
        <v>41</v>
      </c>
      <c r="B13" s="17" t="s">
        <v>13</v>
      </c>
      <c r="C13" s="182"/>
      <c r="D13" s="182"/>
      <c r="E13" s="182"/>
      <c r="F13" s="182"/>
      <c r="G13" s="182"/>
      <c r="H13" s="182"/>
      <c r="I13" s="182"/>
      <c r="J13" s="182"/>
      <c r="K13" s="162">
        <f t="shared" si="13"/>
        <v>0</v>
      </c>
      <c r="L13" s="162">
        <f t="shared" ca="1" si="1"/>
        <v>0</v>
      </c>
      <c r="M13" s="54">
        <v>0</v>
      </c>
      <c r="N13" s="24">
        <f t="shared" ca="1" si="2"/>
        <v>0</v>
      </c>
      <c r="O13" s="12">
        <v>0</v>
      </c>
      <c r="P13" s="24">
        <f t="shared" ca="1" si="3"/>
        <v>0</v>
      </c>
      <c r="Q13" s="12">
        <v>0</v>
      </c>
      <c r="R13" s="144">
        <v>0</v>
      </c>
      <c r="S13" s="24">
        <f t="shared" ca="1" si="4"/>
        <v>0</v>
      </c>
      <c r="T13" s="24">
        <f t="shared" ca="1" si="5"/>
        <v>0</v>
      </c>
      <c r="U13" s="54">
        <v>0</v>
      </c>
      <c r="V13" s="24">
        <f t="shared" ca="1" si="6"/>
        <v>0</v>
      </c>
      <c r="W13" s="12">
        <v>0</v>
      </c>
      <c r="X13" s="12">
        <v>0</v>
      </c>
      <c r="Y13" s="150">
        <f t="shared" ca="1" si="7"/>
        <v>0</v>
      </c>
      <c r="Z13" s="24">
        <f t="shared" ca="1" si="8"/>
        <v>0</v>
      </c>
      <c r="AA13" s="154">
        <v>0</v>
      </c>
      <c r="AB13" s="24">
        <f t="shared" ca="1" si="9"/>
        <v>0</v>
      </c>
      <c r="AC13" s="12">
        <v>0</v>
      </c>
      <c r="AD13" s="12">
        <v>0</v>
      </c>
      <c r="AE13" s="150">
        <f t="shared" ca="1" si="10"/>
        <v>0</v>
      </c>
      <c r="AF13" s="24">
        <f t="shared" ca="1" si="11"/>
        <v>0</v>
      </c>
      <c r="AG13" s="54">
        <v>0</v>
      </c>
      <c r="AH13" s="12">
        <v>0</v>
      </c>
      <c r="AI13" s="12">
        <v>0</v>
      </c>
      <c r="AJ13" s="12">
        <v>0</v>
      </c>
    </row>
    <row r="14" spans="1:36" ht="19.5" customHeight="1">
      <c r="A14" s="8" t="s">
        <v>42</v>
      </c>
      <c r="B14" s="17" t="s">
        <v>14</v>
      </c>
      <c r="C14" s="17"/>
      <c r="D14" s="182"/>
      <c r="E14" s="182"/>
      <c r="F14" s="182"/>
      <c r="G14" s="182"/>
      <c r="H14" s="182"/>
      <c r="I14" s="182"/>
      <c r="J14" s="182"/>
      <c r="K14" s="162">
        <f t="shared" si="13"/>
        <v>0</v>
      </c>
      <c r="L14" s="162">
        <f t="shared" ca="1" si="1"/>
        <v>0</v>
      </c>
      <c r="M14" s="54">
        <v>0</v>
      </c>
      <c r="N14" s="24">
        <f t="shared" ca="1" si="2"/>
        <v>0</v>
      </c>
      <c r="O14" s="12">
        <v>0</v>
      </c>
      <c r="P14" s="24">
        <f t="shared" ca="1" si="3"/>
        <v>0</v>
      </c>
      <c r="Q14" s="12">
        <v>0</v>
      </c>
      <c r="R14" s="144">
        <v>0</v>
      </c>
      <c r="S14" s="24">
        <f t="shared" ca="1" si="4"/>
        <v>0</v>
      </c>
      <c r="T14" s="24">
        <f t="shared" ca="1" si="5"/>
        <v>0</v>
      </c>
      <c r="U14" s="54">
        <v>0</v>
      </c>
      <c r="V14" s="24">
        <f t="shared" ca="1" si="6"/>
        <v>0</v>
      </c>
      <c r="W14" s="12">
        <v>0</v>
      </c>
      <c r="X14" s="12">
        <v>0</v>
      </c>
      <c r="Y14" s="150">
        <f t="shared" ca="1" si="7"/>
        <v>0</v>
      </c>
      <c r="Z14" s="24">
        <f t="shared" ca="1" si="8"/>
        <v>0</v>
      </c>
      <c r="AA14" s="154">
        <v>0</v>
      </c>
      <c r="AB14" s="24">
        <f t="shared" ca="1" si="9"/>
        <v>0</v>
      </c>
      <c r="AC14" s="12">
        <v>0</v>
      </c>
      <c r="AD14" s="12">
        <v>0</v>
      </c>
      <c r="AE14" s="150">
        <f t="shared" ca="1" si="10"/>
        <v>0</v>
      </c>
      <c r="AF14" s="24">
        <f t="shared" ca="1" si="11"/>
        <v>0</v>
      </c>
      <c r="AG14" s="54">
        <v>0</v>
      </c>
      <c r="AH14" s="12">
        <v>0</v>
      </c>
      <c r="AI14" s="12">
        <v>0</v>
      </c>
      <c r="AJ14" s="12">
        <v>0</v>
      </c>
    </row>
    <row r="15" spans="1:36" ht="10.5" customHeight="1">
      <c r="A15" s="8" t="s">
        <v>43</v>
      </c>
      <c r="B15" s="17" t="s">
        <v>15</v>
      </c>
      <c r="C15" s="182">
        <f>0.21/12*2</f>
        <v>3.4999999999999996E-2</v>
      </c>
      <c r="D15" s="182">
        <f>0.16/12*2</f>
        <v>2.6666666666666668E-2</v>
      </c>
      <c r="E15" s="182">
        <f>0.21/12</f>
        <v>1.7499999999999998E-2</v>
      </c>
      <c r="F15" s="182">
        <f>0.16/12</f>
        <v>1.3333333333333334E-2</v>
      </c>
      <c r="G15" s="182">
        <f>0.21/12*9</f>
        <v>0.15749999999999997</v>
      </c>
      <c r="H15" s="182">
        <f>0.16/12*9</f>
        <v>0.12000000000000001</v>
      </c>
      <c r="I15" s="182">
        <f>1.47/12*3</f>
        <v>0.36749999999999999</v>
      </c>
      <c r="J15" s="182">
        <f>1.47/12*9</f>
        <v>1.1025</v>
      </c>
      <c r="K15" s="162">
        <f t="shared" si="13"/>
        <v>1.84</v>
      </c>
      <c r="L15" s="162">
        <f t="shared" ca="1" si="1"/>
        <v>7.3097780238912955E-3</v>
      </c>
      <c r="M15" s="57">
        <f>1.47</f>
        <v>1.47</v>
      </c>
      <c r="N15" s="24">
        <f t="shared" ca="1" si="2"/>
        <v>5.8398770082175007E-3</v>
      </c>
      <c r="O15" s="29">
        <v>247</v>
      </c>
      <c r="P15" s="24">
        <f t="shared" ca="1" si="3"/>
        <v>0.98125824559845087</v>
      </c>
      <c r="Q15" s="12">
        <f t="shared" ref="Q15:Q33" si="14">O15-M15</f>
        <v>245.53</v>
      </c>
      <c r="R15" s="145">
        <f t="shared" ref="R15:R28" si="15">Q15/M15*100</f>
        <v>16702.721088435374</v>
      </c>
      <c r="S15" s="24">
        <f t="shared" ca="1" si="4"/>
        <v>1.1776066436029926</v>
      </c>
      <c r="T15" s="24">
        <f t="shared" ca="1" si="5"/>
        <v>5.8398770082175007E-3</v>
      </c>
      <c r="U15" s="24">
        <f ca="1">O15/г*г1</f>
        <v>190.06187059602516</v>
      </c>
      <c r="V15" s="24">
        <f t="shared" ca="1" si="6"/>
        <v>0.94253709781781025</v>
      </c>
      <c r="W15" s="24">
        <f t="shared" ref="W15:W33" si="16">U15-S15</f>
        <v>188.88426395242217</v>
      </c>
      <c r="X15" s="24">
        <f t="shared" ref="X15:X28" si="17">W15/S15*100</f>
        <v>16039.673772093704</v>
      </c>
      <c r="Y15" s="150">
        <f t="shared" ca="1" si="7"/>
        <v>0.16599862075612262</v>
      </c>
      <c r="Z15" s="24">
        <f t="shared" ca="1" si="8"/>
        <v>5.8398770082175007E-3</v>
      </c>
      <c r="AA15" s="24">
        <f ca="1">O15/г*г2</f>
        <v>33.559212151758615</v>
      </c>
      <c r="AB15" s="24">
        <f t="shared" ca="1" si="9"/>
        <v>1.180622288102475</v>
      </c>
      <c r="AC15" s="24">
        <f t="shared" ref="AC15:AC33" si="18">AA15-Y15</f>
        <v>33.393213531002495</v>
      </c>
      <c r="AD15" s="24">
        <f t="shared" ref="AD15:AD28" si="19">AC15/Y15*100</f>
        <v>20116.560835804914</v>
      </c>
      <c r="AE15" s="150">
        <f t="shared" ca="1" si="10"/>
        <v>0.12639473564088458</v>
      </c>
      <c r="AF15" s="24">
        <f t="shared" ca="1" si="11"/>
        <v>5.8398770082175007E-3</v>
      </c>
      <c r="AG15" s="150">
        <f ca="1">O15/г*г3</f>
        <v>23.378917252216191</v>
      </c>
      <c r="AH15" s="24">
        <f ca="1">AG15/а3</f>
        <v>1.0801874037392567</v>
      </c>
      <c r="AI15" s="24">
        <f t="shared" ref="AI15:AI33" si="20">AG15-AE15</f>
        <v>23.252522516575304</v>
      </c>
      <c r="AJ15" s="24">
        <f t="shared" ref="AJ15:AJ28" si="21">AI15/AE15*100</f>
        <v>18396.749198986316</v>
      </c>
    </row>
    <row r="16" spans="1:36" s="172" customFormat="1" ht="10.5" customHeight="1">
      <c r="A16" s="7" t="s">
        <v>44</v>
      </c>
      <c r="B16" s="15" t="s">
        <v>16</v>
      </c>
      <c r="C16" s="15">
        <f>477.9/12*2</f>
        <v>79.649999999999991</v>
      </c>
      <c r="D16" s="183">
        <f>363.88/12*2</f>
        <v>60.646666666666668</v>
      </c>
      <c r="E16" s="183">
        <f>477.9/12</f>
        <v>39.824999999999996</v>
      </c>
      <c r="F16" s="183">
        <f>363.88/12</f>
        <v>30.323333333333334</v>
      </c>
      <c r="G16" s="183">
        <f>477.9/12*9</f>
        <v>358.42499999999995</v>
      </c>
      <c r="H16" s="183">
        <f>363.88/12*9</f>
        <v>272.91000000000003</v>
      </c>
      <c r="I16" s="183">
        <f>3390.23/12*3</f>
        <v>847.55749999999989</v>
      </c>
      <c r="J16" s="183">
        <f>3390.23/12*9</f>
        <v>2542.6724999999997</v>
      </c>
      <c r="K16" s="162">
        <f t="shared" si="13"/>
        <v>4232.0099999999993</v>
      </c>
      <c r="L16" s="162">
        <f t="shared" ca="1" si="1"/>
        <v>16.812529182004454</v>
      </c>
      <c r="M16" s="164">
        <f>3390.23+477.9+363.88</f>
        <v>4232.01</v>
      </c>
      <c r="N16" s="165">
        <f t="shared" ca="1" si="2"/>
        <v>16.812529182004454</v>
      </c>
      <c r="O16" s="167">
        <v>3519</v>
      </c>
      <c r="P16" s="165">
        <f t="shared" ca="1" si="3"/>
        <v>13.979950470692099</v>
      </c>
      <c r="Q16" s="167">
        <f t="shared" si="14"/>
        <v>-713.01000000000022</v>
      </c>
      <c r="R16" s="168">
        <f t="shared" si="15"/>
        <v>-16.848022570835138</v>
      </c>
      <c r="S16" s="165">
        <f t="shared" ca="1" si="4"/>
        <v>3390.2333957784363</v>
      </c>
      <c r="T16" s="165">
        <f t="shared" ca="1" si="5"/>
        <v>16.812529182004454</v>
      </c>
      <c r="U16" s="162">
        <f ca="1">O16/г*г1</f>
        <v>2707.8045450502536</v>
      </c>
      <c r="V16" s="165">
        <f t="shared" ca="1" si="6"/>
        <v>13.42829168915334</v>
      </c>
      <c r="W16" s="165">
        <f t="shared" si="16"/>
        <v>-682.42885072818262</v>
      </c>
      <c r="X16" s="165">
        <f t="shared" si="17"/>
        <v>-20.129258698765462</v>
      </c>
      <c r="Y16" s="170">
        <f t="shared" ca="1" si="7"/>
        <v>477.89647824906024</v>
      </c>
      <c r="Z16" s="165">
        <f t="shared" ca="1" si="8"/>
        <v>16.812529182004454</v>
      </c>
      <c r="AA16" s="162">
        <f ca="1">O16/г*г2</f>
        <v>478.116872720804</v>
      </c>
      <c r="AB16" s="165">
        <f t="shared" ca="1" si="9"/>
        <v>16.820282719970084</v>
      </c>
      <c r="AC16" s="165">
        <f t="shared" si="18"/>
        <v>0.22039447174375937</v>
      </c>
      <c r="AD16" s="165">
        <f t="shared" si="19"/>
        <v>4.6117617888972749E-2</v>
      </c>
      <c r="AE16" s="170">
        <f t="shared" ca="1" si="10"/>
        <v>363.88012597250338</v>
      </c>
      <c r="AF16" s="165">
        <f t="shared" ca="1" si="11"/>
        <v>16.812529182004454</v>
      </c>
      <c r="AG16" s="174">
        <f ca="1">O16/г*г3</f>
        <v>333.07858222894242</v>
      </c>
      <c r="AH16" s="165">
        <f ca="1">AG16/а3</f>
        <v>15.389390582017993</v>
      </c>
      <c r="AI16" s="165">
        <f t="shared" si="20"/>
        <v>-30.801543743560956</v>
      </c>
      <c r="AJ16" s="165">
        <f t="shared" si="21"/>
        <v>-8.4647502144397055</v>
      </c>
    </row>
    <row r="17" spans="1:36" s="172" customFormat="1" ht="10.5" customHeight="1">
      <c r="A17" s="7" t="s">
        <v>45</v>
      </c>
      <c r="B17" s="15" t="s">
        <v>17</v>
      </c>
      <c r="C17" s="169">
        <f t="shared" ref="C17:J17" si="22">C18+C19+C20</f>
        <v>79.728333333333339</v>
      </c>
      <c r="D17" s="169">
        <f t="shared" si="22"/>
        <v>60.704999999999998</v>
      </c>
      <c r="E17" s="169">
        <f t="shared" si="22"/>
        <v>39.864166666666669</v>
      </c>
      <c r="F17" s="169">
        <f t="shared" si="22"/>
        <v>30.352499999999999</v>
      </c>
      <c r="G17" s="169">
        <f t="shared" si="22"/>
        <v>358.77750000000003</v>
      </c>
      <c r="H17" s="169">
        <f t="shared" si="22"/>
        <v>273.17250000000001</v>
      </c>
      <c r="I17" s="169">
        <f t="shared" si="22"/>
        <v>848.38250000000005</v>
      </c>
      <c r="J17" s="169">
        <f t="shared" si="22"/>
        <v>2545.1475</v>
      </c>
      <c r="K17" s="162">
        <f t="shared" si="13"/>
        <v>4236.13</v>
      </c>
      <c r="L17" s="162">
        <f t="shared" ca="1" si="1"/>
        <v>16.828896728449255</v>
      </c>
      <c r="M17" s="173">
        <f>M18+M19+M20</f>
        <v>4236.13</v>
      </c>
      <c r="N17" s="165">
        <f t="shared" ca="1" si="2"/>
        <v>16.828896728449255</v>
      </c>
      <c r="O17" s="166">
        <f>O18+O19+O20</f>
        <v>2991</v>
      </c>
      <c r="P17" s="165">
        <f t="shared" ca="1" si="3"/>
        <v>11.88236199427112</v>
      </c>
      <c r="Q17" s="165">
        <f t="shared" si="14"/>
        <v>-1245.1300000000001</v>
      </c>
      <c r="R17" s="168">
        <f t="shared" si="15"/>
        <v>-29.393101722562815</v>
      </c>
      <c r="S17" s="165">
        <f t="shared" ca="1" si="4"/>
        <v>3393.5338987523442</v>
      </c>
      <c r="T17" s="165">
        <f t="shared" ca="1" si="5"/>
        <v>16.828896728449255</v>
      </c>
      <c r="U17" s="169">
        <f ca="1">U18+U19+U20</f>
        <v>2301.5184411040946</v>
      </c>
      <c r="V17" s="165">
        <f t="shared" ca="1" si="6"/>
        <v>11.413475544830247</v>
      </c>
      <c r="W17" s="165">
        <f t="shared" si="16"/>
        <v>-1092.0154576482496</v>
      </c>
      <c r="X17" s="165">
        <f t="shared" si="17"/>
        <v>-32.179300111006306</v>
      </c>
      <c r="Y17" s="170">
        <f t="shared" ca="1" si="7"/>
        <v>478.36172608410465</v>
      </c>
      <c r="Z17" s="165">
        <f t="shared" ca="1" si="8"/>
        <v>16.828896728449255</v>
      </c>
      <c r="AA17" s="171">
        <f ca="1">AA18+AA19+AA20</f>
        <v>406.3789617243321</v>
      </c>
      <c r="AB17" s="165">
        <f t="shared" ca="1" si="9"/>
        <v>14.296523334876531</v>
      </c>
      <c r="AC17" s="165">
        <f t="shared" si="18"/>
        <v>-71.982764359772546</v>
      </c>
      <c r="AD17" s="165">
        <f t="shared" si="19"/>
        <v>-15.047768338204524</v>
      </c>
      <c r="AE17" s="170">
        <f t="shared" ca="1" si="10"/>
        <v>364.23437516355131</v>
      </c>
      <c r="AF17" s="165">
        <f t="shared" ca="1" si="11"/>
        <v>16.828896728449255</v>
      </c>
      <c r="AG17" s="169">
        <f ca="1">AG18+AG19+AG20</f>
        <v>283.10259717157339</v>
      </c>
      <c r="AH17" s="165">
        <f>AF17</f>
        <v>16.828896728449255</v>
      </c>
      <c r="AI17" s="165">
        <f t="shared" si="20"/>
        <v>-81.131777991977913</v>
      </c>
      <c r="AJ17" s="165">
        <f t="shared" si="21"/>
        <v>-22.274607649414612</v>
      </c>
    </row>
    <row r="18" spans="1:36" ht="10.5" customHeight="1">
      <c r="A18" s="8" t="s">
        <v>46</v>
      </c>
      <c r="B18" s="16" t="s">
        <v>18</v>
      </c>
      <c r="C18" s="176">
        <f>177.11/12*2</f>
        <v>29.518333333333334</v>
      </c>
      <c r="D18" s="176">
        <f>134.85/12*2</f>
        <v>22.474999999999998</v>
      </c>
      <c r="E18" s="176">
        <f>177.11/12</f>
        <v>14.759166666666667</v>
      </c>
      <c r="F18" s="176">
        <f>134.85/12</f>
        <v>11.237499999999999</v>
      </c>
      <c r="G18" s="176">
        <f>177.11/12*9</f>
        <v>132.83250000000001</v>
      </c>
      <c r="H18" s="176">
        <f>134.85/12*9</f>
        <v>101.13749999999999</v>
      </c>
      <c r="I18" s="176">
        <f>1256.43/12*3</f>
        <v>314.10750000000002</v>
      </c>
      <c r="J18" s="176">
        <f>1256.43/12*9</f>
        <v>942.32249999999999</v>
      </c>
      <c r="K18" s="162">
        <f t="shared" si="13"/>
        <v>1568.3899999999999</v>
      </c>
      <c r="L18" s="162">
        <f t="shared" ca="1" si="1"/>
        <v>6.2307514972232969</v>
      </c>
      <c r="M18" s="54">
        <f>1256.43+177.11+134.85</f>
        <v>1568.3899999999999</v>
      </c>
      <c r="N18" s="24">
        <f t="shared" ca="1" si="2"/>
        <v>6.2307514972232969</v>
      </c>
      <c r="O18" s="12">
        <v>1275</v>
      </c>
      <c r="P18" s="24">
        <f t="shared" ca="1" si="3"/>
        <v>5.0651994459029348</v>
      </c>
      <c r="Q18" s="24">
        <f t="shared" si="14"/>
        <v>-293.38999999999987</v>
      </c>
      <c r="R18" s="145">
        <f t="shared" si="15"/>
        <v>-18.70644418798895</v>
      </c>
      <c r="S18" s="24">
        <f t="shared" ca="1" si="4"/>
        <v>1256.42617942891</v>
      </c>
      <c r="T18" s="24">
        <f t="shared" ca="1" si="5"/>
        <v>6.2307514972232969</v>
      </c>
      <c r="U18" s="24">
        <f ca="1">O18/г*г1</f>
        <v>981.08860327907735</v>
      </c>
      <c r="V18" s="24">
        <f t="shared" ca="1" si="6"/>
        <v>4.8653230757801955</v>
      </c>
      <c r="W18" s="24">
        <f t="shared" si="16"/>
        <v>-275.33757614983267</v>
      </c>
      <c r="X18" s="24">
        <f t="shared" si="17"/>
        <v>-21.914345678071058</v>
      </c>
      <c r="Y18" s="150">
        <f t="shared" ca="1" si="7"/>
        <v>177.10923592360217</v>
      </c>
      <c r="Z18" s="24">
        <f t="shared" ca="1" si="8"/>
        <v>6.2307514972232969</v>
      </c>
      <c r="AA18" s="24">
        <f ca="1">O18/г*г2</f>
        <v>173.23075098579855</v>
      </c>
      <c r="AB18" s="24">
        <f t="shared" ca="1" si="9"/>
        <v>6.0943053333224935</v>
      </c>
      <c r="AC18" s="24">
        <f t="shared" si="18"/>
        <v>-3.8784849378036199</v>
      </c>
      <c r="AD18" s="24">
        <f t="shared" si="19"/>
        <v>-2.1898829372606197</v>
      </c>
      <c r="AE18" s="150">
        <f t="shared" ca="1" si="10"/>
        <v>134.85458464748774</v>
      </c>
      <c r="AF18" s="24">
        <f t="shared" ca="1" si="11"/>
        <v>6.2307514972232969</v>
      </c>
      <c r="AG18" s="150">
        <f ca="1">O18/г*г3</f>
        <v>120.68064573512407</v>
      </c>
      <c r="AH18" s="24">
        <f t="shared" ref="AH18:AH33" ca="1" si="23">AG18/а3</f>
        <v>5.5758661529050704</v>
      </c>
      <c r="AI18" s="24">
        <f t="shared" si="20"/>
        <v>-14.173938912363667</v>
      </c>
      <c r="AJ18" s="24">
        <f t="shared" si="21"/>
        <v>-10.510535440389063</v>
      </c>
    </row>
    <row r="19" spans="1:36" ht="10.5" customHeight="1">
      <c r="A19" s="8" t="s">
        <v>47</v>
      </c>
      <c r="B19" s="16" t="s">
        <v>19</v>
      </c>
      <c r="C19" s="176">
        <f>167.9/12*2</f>
        <v>27.983333333333334</v>
      </c>
      <c r="D19" s="176">
        <f>127.84/12*2</f>
        <v>21.306666666666668</v>
      </c>
      <c r="E19" s="176">
        <f>167.9/12</f>
        <v>13.991666666666667</v>
      </c>
      <c r="F19" s="176">
        <f>127.84/12</f>
        <v>10.653333333333334</v>
      </c>
      <c r="G19" s="176">
        <f>167.9/12*9</f>
        <v>125.92500000000001</v>
      </c>
      <c r="H19" s="176">
        <f>127.84/12*9</f>
        <v>95.88000000000001</v>
      </c>
      <c r="I19" s="176">
        <f>1191.04/12*3</f>
        <v>297.76</v>
      </c>
      <c r="J19" s="176">
        <f>1191.04/12*9</f>
        <v>893.28</v>
      </c>
      <c r="K19" s="162">
        <f t="shared" si="13"/>
        <v>1486.78</v>
      </c>
      <c r="L19" s="162">
        <f t="shared" ca="1" si="1"/>
        <v>5.9065390056310321</v>
      </c>
      <c r="M19" s="54">
        <f>1191.04+167.9+127.84</f>
        <v>1486.78</v>
      </c>
      <c r="N19" s="24">
        <f t="shared" ca="1" si="2"/>
        <v>5.9065390056310312</v>
      </c>
      <c r="O19" s="29">
        <v>1574</v>
      </c>
      <c r="P19" s="24">
        <f t="shared" ca="1" si="3"/>
        <v>6.2530383747852696</v>
      </c>
      <c r="Q19" s="24">
        <f t="shared" si="14"/>
        <v>87.220000000000027</v>
      </c>
      <c r="R19" s="145">
        <f t="shared" si="15"/>
        <v>5.8663689315164333</v>
      </c>
      <c r="S19" s="24">
        <f t="shared" ca="1" si="4"/>
        <v>1191.0489833850731</v>
      </c>
      <c r="T19" s="24">
        <f t="shared" ca="1" si="5"/>
        <v>5.9065390056310312</v>
      </c>
      <c r="U19" s="24">
        <f ca="1">O19/г*г1</f>
        <v>1211.1634992637394</v>
      </c>
      <c r="V19" s="24">
        <f t="shared" ca="1" si="6"/>
        <v>6.0062890362964918</v>
      </c>
      <c r="W19" s="24">
        <f t="shared" si="16"/>
        <v>20.114515878666225</v>
      </c>
      <c r="X19" s="24">
        <f t="shared" si="17"/>
        <v>1.6888067711118715</v>
      </c>
      <c r="Y19" s="150">
        <f t="shared" ca="1" si="7"/>
        <v>167.89348936584219</v>
      </c>
      <c r="Z19" s="24">
        <f t="shared" ca="1" si="8"/>
        <v>5.9065390056310312</v>
      </c>
      <c r="AA19" s="24">
        <f ca="1">O19/г*г2</f>
        <v>213.85506043266423</v>
      </c>
      <c r="AB19" s="24">
        <f t="shared" ca="1" si="9"/>
        <v>7.5234796820781211</v>
      </c>
      <c r="AC19" s="24">
        <f t="shared" si="18"/>
        <v>45.961571066822046</v>
      </c>
      <c r="AD19" s="24">
        <f t="shared" si="19"/>
        <v>27.37543381844376</v>
      </c>
      <c r="AE19" s="150">
        <f t="shared" ca="1" si="10"/>
        <v>127.8375272490846</v>
      </c>
      <c r="AF19" s="24">
        <f t="shared" ca="1" si="11"/>
        <v>5.9065390056310312</v>
      </c>
      <c r="AG19" s="150">
        <f ca="1">O19/г*г3</f>
        <v>148.98144030359629</v>
      </c>
      <c r="AH19" s="24">
        <f t="shared" ca="1" si="23"/>
        <v>6.8834614311157489</v>
      </c>
      <c r="AI19" s="24">
        <f t="shared" si="20"/>
        <v>21.143913054511685</v>
      </c>
      <c r="AJ19" s="24">
        <f t="shared" si="21"/>
        <v>16.539676188599845</v>
      </c>
    </row>
    <row r="20" spans="1:36" ht="10.5" customHeight="1">
      <c r="A20" s="8" t="s">
        <v>48</v>
      </c>
      <c r="B20" s="16" t="s">
        <v>20</v>
      </c>
      <c r="C20" s="176">
        <f>133.36/12*2</f>
        <v>22.22666666666667</v>
      </c>
      <c r="D20" s="176">
        <f>101.54/12*2</f>
        <v>16.923333333333336</v>
      </c>
      <c r="E20" s="176">
        <f>133.36/12</f>
        <v>11.113333333333335</v>
      </c>
      <c r="F20" s="176">
        <f>101.54/12</f>
        <v>8.4616666666666678</v>
      </c>
      <c r="G20" s="176">
        <f>133.36/12*9</f>
        <v>100.02000000000001</v>
      </c>
      <c r="H20" s="176">
        <f>101.54/12*9</f>
        <v>76.155000000000015</v>
      </c>
      <c r="I20" s="176">
        <f>946.06/12*3</f>
        <v>236.51499999999999</v>
      </c>
      <c r="J20" s="176">
        <f>946.06/12*9</f>
        <v>709.54499999999996</v>
      </c>
      <c r="K20" s="162">
        <f t="shared" si="13"/>
        <v>1180.96</v>
      </c>
      <c r="L20" s="162">
        <f t="shared" ca="1" si="1"/>
        <v>4.691606225594926</v>
      </c>
      <c r="M20" s="57">
        <f>946.06+133.36+101.54</f>
        <v>1180.96</v>
      </c>
      <c r="N20" s="24">
        <f t="shared" ca="1" si="2"/>
        <v>4.6916062255949251</v>
      </c>
      <c r="O20" s="29">
        <v>142</v>
      </c>
      <c r="P20" s="24">
        <f t="shared" ca="1" si="3"/>
        <v>0.56412417358291511</v>
      </c>
      <c r="Q20" s="24">
        <f t="shared" si="14"/>
        <v>-1038.96</v>
      </c>
      <c r="R20" s="145">
        <f t="shared" si="15"/>
        <v>-87.975884026554667</v>
      </c>
      <c r="S20" s="24">
        <f t="shared" ca="1" si="4"/>
        <v>946.05873593836077</v>
      </c>
      <c r="T20" s="24">
        <f t="shared" ca="1" si="5"/>
        <v>4.6916062255949251</v>
      </c>
      <c r="U20" s="24">
        <f ca="1">O20/г*г1</f>
        <v>109.26633856127762</v>
      </c>
      <c r="V20" s="24">
        <f t="shared" ca="1" si="6"/>
        <v>0.54186343275355897</v>
      </c>
      <c r="W20" s="24">
        <f t="shared" si="16"/>
        <v>-836.79239737708315</v>
      </c>
      <c r="X20" s="24">
        <f t="shared" si="17"/>
        <v>-88.450364188762507</v>
      </c>
      <c r="Y20" s="150">
        <f t="shared" ca="1" si="7"/>
        <v>133.35900079466026</v>
      </c>
      <c r="Z20" s="24">
        <f t="shared" ca="1" si="8"/>
        <v>4.6916062255949251</v>
      </c>
      <c r="AA20" s="24">
        <f ca="1">O20/г*г2</f>
        <v>19.293150305869325</v>
      </c>
      <c r="AB20" s="24">
        <f t="shared" ca="1" si="9"/>
        <v>0.67873831947591678</v>
      </c>
      <c r="AC20" s="24">
        <f t="shared" si="18"/>
        <v>-114.06585048879094</v>
      </c>
      <c r="AD20" s="24">
        <f t="shared" si="19"/>
        <v>-85.532922269284256</v>
      </c>
      <c r="AE20" s="150">
        <f t="shared" ca="1" si="10"/>
        <v>101.54226326697895</v>
      </c>
      <c r="AF20" s="24">
        <f t="shared" ca="1" si="11"/>
        <v>4.6916062255949251</v>
      </c>
      <c r="AG20" s="150">
        <f ca="1">O20/г*г3</f>
        <v>13.440511132853032</v>
      </c>
      <c r="AH20" s="24">
        <f t="shared" ca="1" si="23"/>
        <v>0.62099842644119208</v>
      </c>
      <c r="AI20" s="24">
        <f t="shared" si="20"/>
        <v>-88.101752134125917</v>
      </c>
      <c r="AJ20" s="24">
        <f t="shared" si="21"/>
        <v>-86.763628561720452</v>
      </c>
    </row>
    <row r="21" spans="1:36" s="172" customFormat="1" ht="10.5" customHeight="1">
      <c r="A21" s="7" t="s">
        <v>49</v>
      </c>
      <c r="B21" s="15" t="s">
        <v>21</v>
      </c>
      <c r="C21" s="169">
        <f t="shared" ref="C21:J21" si="24">C22+C23+C24</f>
        <v>30.47</v>
      </c>
      <c r="D21" s="169">
        <f t="shared" si="24"/>
        <v>13.300416666666667</v>
      </c>
      <c r="E21" s="169">
        <f t="shared" si="24"/>
        <v>15.234999999999999</v>
      </c>
      <c r="F21" s="169">
        <f t="shared" si="24"/>
        <v>11.600833333333334</v>
      </c>
      <c r="G21" s="169">
        <f t="shared" si="24"/>
        <v>137.11500000000001</v>
      </c>
      <c r="H21" s="169">
        <f t="shared" si="24"/>
        <v>104.4075</v>
      </c>
      <c r="I21" s="169">
        <f t="shared" si="24"/>
        <v>324.255</v>
      </c>
      <c r="J21" s="169">
        <f t="shared" si="24"/>
        <v>972.7650000000001</v>
      </c>
      <c r="K21" s="162">
        <f t="shared" si="13"/>
        <v>1609.1487500000001</v>
      </c>
      <c r="L21" s="162">
        <f t="shared" ca="1" si="1"/>
        <v>6.3926740053924718</v>
      </c>
      <c r="M21" s="164">
        <f>M22+M23+M24</f>
        <v>1619.0500000000002</v>
      </c>
      <c r="N21" s="165">
        <f t="shared" ca="1" si="2"/>
        <v>6.4320087552071747</v>
      </c>
      <c r="O21" s="166">
        <f>O22+O23+O24</f>
        <v>2377.4</v>
      </c>
      <c r="P21" s="165">
        <f t="shared" ca="1" si="3"/>
        <v>9.4447099315212846</v>
      </c>
      <c r="Q21" s="167">
        <f t="shared" si="14"/>
        <v>758.34999999999991</v>
      </c>
      <c r="R21" s="168">
        <f t="shared" si="15"/>
        <v>46.839195824712007</v>
      </c>
      <c r="S21" s="165">
        <f t="shared" ca="1" si="4"/>
        <v>1297.0095485206978</v>
      </c>
      <c r="T21" s="165">
        <f t="shared" ca="1" si="5"/>
        <v>6.4320087552071747</v>
      </c>
      <c r="U21" s="169">
        <f ca="1">U22+U23+U24</f>
        <v>1829.364741518179</v>
      </c>
      <c r="V21" s="165">
        <f t="shared" ca="1" si="6"/>
        <v>9.0720149649881066</v>
      </c>
      <c r="W21" s="165">
        <f t="shared" si="16"/>
        <v>532.35519299748125</v>
      </c>
      <c r="X21" s="165">
        <f t="shared" si="17"/>
        <v>41.04481679449917</v>
      </c>
      <c r="Y21" s="170">
        <f t="shared" ca="1" si="7"/>
        <v>182.82997750693906</v>
      </c>
      <c r="Z21" s="165">
        <f t="shared" ca="1" si="8"/>
        <v>6.4320087552071756</v>
      </c>
      <c r="AA21" s="171">
        <f ca="1">AA22+AA23+AA24</f>
        <v>323.01081364206857</v>
      </c>
      <c r="AB21" s="165">
        <f t="shared" ca="1" si="9"/>
        <v>11.36360901916933</v>
      </c>
      <c r="AC21" s="165">
        <f t="shared" si="18"/>
        <v>140.18083613512951</v>
      </c>
      <c r="AD21" s="165">
        <f t="shared" si="19"/>
        <v>76.67278530940537</v>
      </c>
      <c r="AE21" s="170">
        <f t="shared" ca="1" si="10"/>
        <v>139.21047397236342</v>
      </c>
      <c r="AF21" s="165">
        <f t="shared" ca="1" si="11"/>
        <v>6.4320087552071747</v>
      </c>
      <c r="AG21" s="169">
        <f ca="1">AG22+AG23+AG24</f>
        <v>225.02444483975211</v>
      </c>
      <c r="AH21" s="165">
        <f t="shared" ca="1" si="23"/>
        <v>10.396913091699226</v>
      </c>
      <c r="AI21" s="165">
        <f t="shared" si="20"/>
        <v>85.81397086738869</v>
      </c>
      <c r="AJ21" s="165">
        <f t="shared" si="21"/>
        <v>61.643329283129091</v>
      </c>
    </row>
    <row r="22" spans="1:36" ht="10.5" customHeight="1">
      <c r="A22" s="8" t="s">
        <v>50</v>
      </c>
      <c r="B22" s="16" t="s">
        <v>22</v>
      </c>
      <c r="C22" s="176">
        <f>104.02/12*2</f>
        <v>17.336666666666666</v>
      </c>
      <c r="D22" s="176">
        <f>79.21/12/2</f>
        <v>3.3004166666666666</v>
      </c>
      <c r="E22" s="176">
        <f>104.02/12</f>
        <v>8.668333333333333</v>
      </c>
      <c r="F22" s="176">
        <f>79.21/12</f>
        <v>6.6008333333333331</v>
      </c>
      <c r="G22" s="176">
        <f>104.02/12*9</f>
        <v>78.015000000000001</v>
      </c>
      <c r="H22" s="176">
        <f>79.21/12*9</f>
        <v>59.407499999999999</v>
      </c>
      <c r="I22" s="176">
        <f>737.99/12*3</f>
        <v>184.4975</v>
      </c>
      <c r="J22" s="176">
        <f>737.99/12*9</f>
        <v>553.49250000000006</v>
      </c>
      <c r="K22" s="162">
        <f t="shared" si="13"/>
        <v>911.31875000000014</v>
      </c>
      <c r="L22" s="162">
        <f t="shared" ca="1" si="1"/>
        <v>3.6204009627772207</v>
      </c>
      <c r="M22" s="54">
        <f>737.99+104.02+79.21</f>
        <v>921.22</v>
      </c>
      <c r="N22" s="24">
        <f t="shared" ca="1" si="2"/>
        <v>3.6597357125919228</v>
      </c>
      <c r="O22" s="12">
        <v>1328</v>
      </c>
      <c r="P22" s="24">
        <f t="shared" ca="1" si="3"/>
        <v>5.2757528346345861</v>
      </c>
      <c r="Q22" s="12">
        <f t="shared" si="14"/>
        <v>406.78</v>
      </c>
      <c r="R22" s="145">
        <f t="shared" si="15"/>
        <v>44.15666181802392</v>
      </c>
      <c r="S22" s="24">
        <f t="shared" ca="1" si="4"/>
        <v>737.98285185030545</v>
      </c>
      <c r="T22" s="24">
        <f t="shared" ca="1" si="5"/>
        <v>3.6597357125919228</v>
      </c>
      <c r="U22" s="24">
        <f ca="1">O22/г*г1</f>
        <v>1021.871109925188</v>
      </c>
      <c r="V22" s="24">
        <f t="shared" ca="1" si="6"/>
        <v>5.0675678781459599</v>
      </c>
      <c r="W22" s="24">
        <f t="shared" si="16"/>
        <v>283.88825807488251</v>
      </c>
      <c r="X22" s="24">
        <f t="shared" si="17"/>
        <v>38.468137486271459</v>
      </c>
      <c r="Y22" s="150">
        <f t="shared" ca="1" si="7"/>
        <v>104.02806082513966</v>
      </c>
      <c r="Z22" s="24">
        <f t="shared" ca="1" si="8"/>
        <v>3.6597357125919228</v>
      </c>
      <c r="AA22" s="24">
        <f ca="1">O22/г*г2</f>
        <v>180.43171553658075</v>
      </c>
      <c r="AB22" s="24">
        <f t="shared" ca="1" si="9"/>
        <v>6.3476372412958986</v>
      </c>
      <c r="AC22" s="24">
        <f t="shared" si="18"/>
        <v>76.403654711441092</v>
      </c>
      <c r="AD22" s="24">
        <f t="shared" si="19"/>
        <v>73.445235934819237</v>
      </c>
      <c r="AE22" s="150">
        <f t="shared" ca="1" si="10"/>
        <v>79.209087324554901</v>
      </c>
      <c r="AF22" s="24">
        <f t="shared" ca="1" si="11"/>
        <v>3.6597357125919232</v>
      </c>
      <c r="AG22" s="150">
        <f ca="1">O22/г*г3</f>
        <v>125.69717453823118</v>
      </c>
      <c r="AH22" s="24">
        <f t="shared" ca="1" si="23"/>
        <v>5.8076472557317125</v>
      </c>
      <c r="AI22" s="24">
        <f t="shared" si="20"/>
        <v>46.48808721367628</v>
      </c>
      <c r="AJ22" s="24">
        <f t="shared" si="21"/>
        <v>58.69034574681298</v>
      </c>
    </row>
    <row r="23" spans="1:36" ht="10.5" customHeight="1">
      <c r="A23" s="8" t="s">
        <v>51</v>
      </c>
      <c r="B23" s="16" t="s">
        <v>18</v>
      </c>
      <c r="C23" s="176">
        <f>38.55/12*2</f>
        <v>6.4249999999999998</v>
      </c>
      <c r="D23" s="176">
        <f>29.35/12*2</f>
        <v>4.8916666666666666</v>
      </c>
      <c r="E23" s="176">
        <f>38.55/12</f>
        <v>3.2124999999999999</v>
      </c>
      <c r="F23" s="176">
        <f>29.35/12</f>
        <v>2.4458333333333333</v>
      </c>
      <c r="G23" s="176">
        <f>38.55/12*9</f>
        <v>28.912499999999998</v>
      </c>
      <c r="H23" s="176">
        <f>29.35/12*9</f>
        <v>22.012499999999999</v>
      </c>
      <c r="I23" s="176">
        <f>273.49/12*3</f>
        <v>68.372500000000002</v>
      </c>
      <c r="J23" s="176">
        <f>273.49/12*9</f>
        <v>205.11750000000001</v>
      </c>
      <c r="K23" s="162">
        <f t="shared" si="13"/>
        <v>341.39</v>
      </c>
      <c r="L23" s="162">
        <f t="shared" ca="1" si="1"/>
        <v>1.3562419128131789</v>
      </c>
      <c r="M23" s="54">
        <f>273.49+38.55+29.35</f>
        <v>341.39000000000004</v>
      </c>
      <c r="N23" s="24">
        <f t="shared" ca="1" si="2"/>
        <v>1.3562419128131789</v>
      </c>
      <c r="O23" s="12">
        <v>475</v>
      </c>
      <c r="P23" s="24">
        <f t="shared" ca="1" si="3"/>
        <v>1.8870350876893287</v>
      </c>
      <c r="Q23" s="12">
        <f t="shared" si="14"/>
        <v>133.60999999999996</v>
      </c>
      <c r="R23" s="145">
        <f t="shared" si="15"/>
        <v>39.137057324467598</v>
      </c>
      <c r="S23" s="24">
        <f t="shared" ca="1" si="4"/>
        <v>273.48512385008553</v>
      </c>
      <c r="T23" s="24">
        <f t="shared" ca="1" si="5"/>
        <v>1.3562419128131789</v>
      </c>
      <c r="U23" s="24">
        <f ca="1">O23/г*г1</f>
        <v>365.5035973000484</v>
      </c>
      <c r="V23" s="24">
        <f t="shared" ca="1" si="6"/>
        <v>1.8125713419573275</v>
      </c>
      <c r="W23" s="24">
        <f t="shared" si="16"/>
        <v>92.018473449962869</v>
      </c>
      <c r="X23" s="24">
        <f t="shared" si="17"/>
        <v>33.646610153612599</v>
      </c>
      <c r="Y23" s="150">
        <f t="shared" ca="1" si="7"/>
        <v>38.551203496552866</v>
      </c>
      <c r="Z23" s="24">
        <f t="shared" ca="1" si="8"/>
        <v>1.3562419128131789</v>
      </c>
      <c r="AA23" s="24">
        <f ca="1">O23/г*г2</f>
        <v>64.536946445689651</v>
      </c>
      <c r="AB23" s="24">
        <f t="shared" ca="1" si="9"/>
        <v>2.2704274771201445</v>
      </c>
      <c r="AC23" s="24">
        <f t="shared" si="18"/>
        <v>25.985742949136785</v>
      </c>
      <c r="AD23" s="24">
        <f t="shared" si="19"/>
        <v>67.405789164170599</v>
      </c>
      <c r="AE23" s="150">
        <f t="shared" ca="1" si="10"/>
        <v>29.353672653361627</v>
      </c>
      <c r="AF23" s="24">
        <f t="shared" ca="1" si="11"/>
        <v>1.3562419128131789</v>
      </c>
      <c r="AG23" s="150">
        <f ca="1">O23/г*г3</f>
        <v>44.959456254261902</v>
      </c>
      <c r="AH23" s="24">
        <f t="shared" ca="1" si="23"/>
        <v>2.0772834687293398</v>
      </c>
      <c r="AI23" s="24">
        <f t="shared" si="20"/>
        <v>15.605783600900274</v>
      </c>
      <c r="AJ23" s="24">
        <f t="shared" si="21"/>
        <v>53.164671369029101</v>
      </c>
    </row>
    <row r="24" spans="1:36" ht="10.5" customHeight="1">
      <c r="A24" s="8" t="s">
        <v>52</v>
      </c>
      <c r="B24" s="16" t="s">
        <v>23</v>
      </c>
      <c r="C24" s="176">
        <f>40.25/12*2</f>
        <v>6.708333333333333</v>
      </c>
      <c r="D24" s="176">
        <f>30.65/12*2</f>
        <v>5.1083333333333334</v>
      </c>
      <c r="E24" s="176">
        <f>40.25/12</f>
        <v>3.3541666666666665</v>
      </c>
      <c r="F24" s="176">
        <f>30.65/12</f>
        <v>2.5541666666666667</v>
      </c>
      <c r="G24" s="176">
        <f>40.25/12*9</f>
        <v>30.1875</v>
      </c>
      <c r="H24" s="176">
        <f>30.65/12*9</f>
        <v>22.987500000000001</v>
      </c>
      <c r="I24" s="176">
        <f>285.54/12*3</f>
        <v>71.385000000000005</v>
      </c>
      <c r="J24" s="176">
        <f>285.54/12*9</f>
        <v>214.15500000000003</v>
      </c>
      <c r="K24" s="162">
        <f t="shared" si="13"/>
        <v>356.44000000000005</v>
      </c>
      <c r="L24" s="162">
        <f t="shared" ca="1" si="1"/>
        <v>1.4160311298020725</v>
      </c>
      <c r="M24" s="54">
        <f>285.54+40.25+30.65</f>
        <v>356.44</v>
      </c>
      <c r="N24" s="24">
        <f t="shared" ca="1" si="2"/>
        <v>1.4160311298020722</v>
      </c>
      <c r="O24" s="29">
        <f>39+173.5+361.9</f>
        <v>574.4</v>
      </c>
      <c r="P24" s="24">
        <f t="shared" ca="1" si="3"/>
        <v>2.2819220091973689</v>
      </c>
      <c r="Q24" s="12">
        <f t="shared" si="14"/>
        <v>217.95999999999998</v>
      </c>
      <c r="R24" s="145">
        <f t="shared" si="15"/>
        <v>61.14914151049264</v>
      </c>
      <c r="S24" s="24">
        <f t="shared" ca="1" si="4"/>
        <v>285.54157282030667</v>
      </c>
      <c r="T24" s="24">
        <f t="shared" ca="1" si="5"/>
        <v>1.4160311298020725</v>
      </c>
      <c r="U24" s="24">
        <f ca="1">O24/г*г1</f>
        <v>441.99003429294277</v>
      </c>
      <c r="V24" s="24">
        <f t="shared" ca="1" si="6"/>
        <v>2.1918757448848192</v>
      </c>
      <c r="W24" s="24">
        <f t="shared" si="16"/>
        <v>156.4484614726361</v>
      </c>
      <c r="X24" s="24">
        <f t="shared" si="17"/>
        <v>54.790081853016268</v>
      </c>
      <c r="Y24" s="150">
        <f t="shared" ca="1" si="7"/>
        <v>40.250713185246497</v>
      </c>
      <c r="Z24" s="24">
        <f t="shared" ca="1" si="8"/>
        <v>1.4160311298020722</v>
      </c>
      <c r="AA24" s="24">
        <f ca="1">O24/г*г2</f>
        <v>78.042151659798179</v>
      </c>
      <c r="AB24" s="24">
        <f t="shared" ca="1" si="9"/>
        <v>2.7455443007532865</v>
      </c>
      <c r="AC24" s="24">
        <f t="shared" si="18"/>
        <v>37.791438474551683</v>
      </c>
      <c r="AD24" s="24">
        <f t="shared" si="19"/>
        <v>93.890108979246023</v>
      </c>
      <c r="AE24" s="150">
        <f t="shared" ca="1" si="10"/>
        <v>30.647713994446871</v>
      </c>
      <c r="AF24" s="24">
        <f t="shared" ca="1" si="11"/>
        <v>1.4160311298020722</v>
      </c>
      <c r="AG24" s="150">
        <f ca="1">O24/г*г3</f>
        <v>54.367814047259031</v>
      </c>
      <c r="AH24" s="24">
        <f t="shared" ca="1" si="23"/>
        <v>2.5119823672381743</v>
      </c>
      <c r="AI24" s="24">
        <f t="shared" si="20"/>
        <v>23.72010005281216</v>
      </c>
      <c r="AJ24" s="24">
        <f t="shared" si="21"/>
        <v>77.395984761245344</v>
      </c>
    </row>
    <row r="25" spans="1:36" s="172" customFormat="1" ht="10.5" customHeight="1">
      <c r="A25" s="7" t="s">
        <v>53</v>
      </c>
      <c r="B25" s="14" t="s">
        <v>24</v>
      </c>
      <c r="C25" s="169">
        <f t="shared" ref="C25:J25" si="25">C26+C27+C28</f>
        <v>39.286666666666662</v>
      </c>
      <c r="D25" s="169">
        <f t="shared" si="25"/>
        <v>29.914999999999999</v>
      </c>
      <c r="E25" s="169">
        <f t="shared" si="25"/>
        <v>19.643333333333331</v>
      </c>
      <c r="F25" s="169">
        <f t="shared" si="25"/>
        <v>14.9575</v>
      </c>
      <c r="G25" s="169">
        <f t="shared" si="25"/>
        <v>176.79</v>
      </c>
      <c r="H25" s="169">
        <f t="shared" si="25"/>
        <v>134.61750000000001</v>
      </c>
      <c r="I25" s="169">
        <f t="shared" si="25"/>
        <v>418.06250000000006</v>
      </c>
      <c r="J25" s="169">
        <f t="shared" si="25"/>
        <v>1254.1875</v>
      </c>
      <c r="K25" s="162">
        <f t="shared" si="13"/>
        <v>2087.46</v>
      </c>
      <c r="L25" s="162">
        <f t="shared" ca="1" si="1"/>
        <v>8.2928637139957182</v>
      </c>
      <c r="M25" s="164">
        <f>M26+M27+M28</f>
        <v>2087.46</v>
      </c>
      <c r="N25" s="165">
        <f t="shared" ca="1" si="2"/>
        <v>8.2928637139957182</v>
      </c>
      <c r="O25" s="167">
        <f>O26+O27+O28</f>
        <v>2284</v>
      </c>
      <c r="P25" s="165">
        <f t="shared" ca="1" si="3"/>
        <v>9.0736592426998453</v>
      </c>
      <c r="Q25" s="167">
        <f t="shared" si="14"/>
        <v>196.53999999999996</v>
      </c>
      <c r="R25" s="168">
        <f t="shared" si="15"/>
        <v>9.4152702327230209</v>
      </c>
      <c r="S25" s="165">
        <f t="shared" ca="1" si="4"/>
        <v>1672.2494994935398</v>
      </c>
      <c r="T25" s="165">
        <f t="shared" ca="1" si="5"/>
        <v>8.2928637139957182</v>
      </c>
      <c r="U25" s="169">
        <f ca="1">U26+U27+U28</f>
        <v>1757.4951920701276</v>
      </c>
      <c r="V25" s="165">
        <f t="shared" ca="1" si="6"/>
        <v>8.715606200064288</v>
      </c>
      <c r="W25" s="165">
        <f t="shared" si="16"/>
        <v>85.245692576587771</v>
      </c>
      <c r="X25" s="165">
        <f t="shared" si="17"/>
        <v>5.097665904663474</v>
      </c>
      <c r="Y25" s="170">
        <f t="shared" ca="1" si="7"/>
        <v>235.72481692760257</v>
      </c>
      <c r="Z25" s="165">
        <f t="shared" ca="1" si="8"/>
        <v>8.2928637139957182</v>
      </c>
      <c r="AA25" s="171">
        <v>310.3956</v>
      </c>
      <c r="AB25" s="165">
        <f t="shared" ca="1" si="9"/>
        <v>10.919802343146989</v>
      </c>
      <c r="AC25" s="165">
        <f t="shared" si="18"/>
        <v>74.670783072397427</v>
      </c>
      <c r="AD25" s="165">
        <f t="shared" si="19"/>
        <v>31.677098765265278</v>
      </c>
      <c r="AE25" s="170">
        <f t="shared" ca="1" si="10"/>
        <v>179.48568357885779</v>
      </c>
      <c r="AF25" s="165">
        <f t="shared" ca="1" si="11"/>
        <v>8.2928637139957182</v>
      </c>
      <c r="AG25" s="169">
        <f ca="1">AG26+AG27+AG28</f>
        <v>216.18399596786148</v>
      </c>
      <c r="AH25" s="165">
        <f t="shared" ca="1" si="23"/>
        <v>9.9884535633217109</v>
      </c>
      <c r="AI25" s="165">
        <f t="shared" si="20"/>
        <v>36.698312389003689</v>
      </c>
      <c r="AJ25" s="165">
        <f t="shared" si="21"/>
        <v>20.44637302388529</v>
      </c>
    </row>
    <row r="26" spans="1:36" ht="10.5" customHeight="1">
      <c r="A26" s="8" t="s">
        <v>54</v>
      </c>
      <c r="B26" s="18" t="s">
        <v>22</v>
      </c>
      <c r="C26" s="178">
        <f>153.23/12*2</f>
        <v>25.53833333333333</v>
      </c>
      <c r="D26" s="178">
        <f>116.67/12*2</f>
        <v>19.445</v>
      </c>
      <c r="E26" s="178">
        <f>153.23/12</f>
        <v>12.769166666666665</v>
      </c>
      <c r="F26" s="178">
        <f>116.67/12</f>
        <v>9.7225000000000001</v>
      </c>
      <c r="G26" s="178">
        <f>153.23/12*9</f>
        <v>114.92249999999999</v>
      </c>
      <c r="H26" s="178">
        <f>116.67/12*9</f>
        <v>87.502499999999998</v>
      </c>
      <c r="I26" s="178">
        <f>1087/12*3</f>
        <v>271.75</v>
      </c>
      <c r="J26" s="178">
        <f>1087/12*9</f>
        <v>815.25</v>
      </c>
      <c r="K26" s="162">
        <f t="shared" si="13"/>
        <v>1356.9</v>
      </c>
      <c r="L26" s="162">
        <f t="shared" ca="1" si="1"/>
        <v>5.3905640220750533</v>
      </c>
      <c r="M26" s="54">
        <f>1087+153.23+116.67</f>
        <v>1356.9</v>
      </c>
      <c r="N26" s="24">
        <f t="shared" ca="1" si="2"/>
        <v>5.3905640220750533</v>
      </c>
      <c r="O26" s="12">
        <v>1452</v>
      </c>
      <c r="P26" s="24">
        <f t="shared" ca="1" si="3"/>
        <v>5.7683683101576948</v>
      </c>
      <c r="Q26" s="12">
        <f t="shared" si="14"/>
        <v>95.099999999999909</v>
      </c>
      <c r="R26" s="145">
        <f t="shared" si="15"/>
        <v>7.0086225956223673</v>
      </c>
      <c r="S26" s="24">
        <f t="shared" ca="1" si="4"/>
        <v>1087.0030304114973</v>
      </c>
      <c r="T26" s="24">
        <f t="shared" ca="1" si="5"/>
        <v>5.3905640220750533</v>
      </c>
      <c r="U26" s="24">
        <f ca="1">O26/г*г1</f>
        <v>1117.2867858519376</v>
      </c>
      <c r="V26" s="24">
        <f t="shared" ca="1" si="6"/>
        <v>5.5407443968885053</v>
      </c>
      <c r="W26" s="24">
        <f t="shared" si="16"/>
        <v>30.283755440440245</v>
      </c>
      <c r="X26" s="24">
        <f t="shared" si="17"/>
        <v>2.7859862937986462</v>
      </c>
      <c r="Y26" s="150">
        <f t="shared" ca="1" si="7"/>
        <v>153.22689013876382</v>
      </c>
      <c r="Z26" s="24">
        <f t="shared" ca="1" si="8"/>
        <v>5.3905640220750533</v>
      </c>
      <c r="AA26" s="24">
        <f ca="1">O26/г*г2</f>
        <v>197.27925524029763</v>
      </c>
      <c r="AB26" s="24">
        <f t="shared" ca="1" si="9"/>
        <v>6.940338309007263</v>
      </c>
      <c r="AC26" s="24">
        <f t="shared" si="18"/>
        <v>44.052365101533809</v>
      </c>
      <c r="AD26" s="24">
        <f t="shared" si="19"/>
        <v>28.74976126033723</v>
      </c>
      <c r="AE26" s="150">
        <f t="shared" ca="1" si="10"/>
        <v>116.67007944973899</v>
      </c>
      <c r="AF26" s="24">
        <f t="shared" ca="1" si="11"/>
        <v>5.3905640220750533</v>
      </c>
      <c r="AG26" s="150">
        <f ca="1">O26/г*г3</f>
        <v>137.43395890776483</v>
      </c>
      <c r="AH26" s="24">
        <f t="shared" ca="1" si="23"/>
        <v>6.3499275717789514</v>
      </c>
      <c r="AI26" s="24">
        <f t="shared" si="20"/>
        <v>20.763879458025841</v>
      </c>
      <c r="AJ26" s="24">
        <f t="shared" si="21"/>
        <v>17.79709035594755</v>
      </c>
    </row>
    <row r="27" spans="1:36" ht="10.5" customHeight="1">
      <c r="A27" s="8" t="s">
        <v>55</v>
      </c>
      <c r="B27" s="18" t="s">
        <v>18</v>
      </c>
      <c r="C27" s="178">
        <f>56.78/12*2</f>
        <v>9.4633333333333329</v>
      </c>
      <c r="D27" s="178">
        <f>43.24/12*2</f>
        <v>7.206666666666667</v>
      </c>
      <c r="E27" s="178">
        <f>56.78/12</f>
        <v>4.7316666666666665</v>
      </c>
      <c r="F27" s="178">
        <f>43.24/12</f>
        <v>3.6033333333333335</v>
      </c>
      <c r="G27" s="178">
        <f>56.78/12*9</f>
        <v>42.585000000000001</v>
      </c>
      <c r="H27" s="178">
        <f>43.24/12*9</f>
        <v>32.43</v>
      </c>
      <c r="I27" s="178">
        <f>402.84/12*3</f>
        <v>100.71000000000001</v>
      </c>
      <c r="J27" s="178">
        <f>402.84/12*9</f>
        <v>302.13</v>
      </c>
      <c r="K27" s="162">
        <f t="shared" si="13"/>
        <v>502.86</v>
      </c>
      <c r="L27" s="162">
        <f t="shared" ca="1" si="1"/>
        <v>1.9977146614641177</v>
      </c>
      <c r="M27" s="54">
        <f>402.84+56.78+43.24</f>
        <v>502.86</v>
      </c>
      <c r="N27" s="24">
        <f t="shared" ca="1" si="2"/>
        <v>1.9977146614641175</v>
      </c>
      <c r="O27" s="12">
        <v>532</v>
      </c>
      <c r="P27" s="24">
        <f t="shared" ca="1" si="3"/>
        <v>2.1134792982120478</v>
      </c>
      <c r="Q27" s="12">
        <f t="shared" si="14"/>
        <v>29.139999999999986</v>
      </c>
      <c r="R27" s="145">
        <f t="shared" si="15"/>
        <v>5.7948534383327335</v>
      </c>
      <c r="S27" s="24">
        <f t="shared" ca="1" si="4"/>
        <v>402.8376032668034</v>
      </c>
      <c r="T27" s="24">
        <f t="shared" ca="1" si="5"/>
        <v>1.9977146614641177</v>
      </c>
      <c r="U27" s="24">
        <f ca="1">O27/г*г1</f>
        <v>409.36402897605427</v>
      </c>
      <c r="V27" s="24">
        <f t="shared" ca="1" si="6"/>
        <v>2.030079902992207</v>
      </c>
      <c r="W27" s="24">
        <f t="shared" si="16"/>
        <v>6.5264257092508728</v>
      </c>
      <c r="X27" s="24">
        <f t="shared" si="17"/>
        <v>1.6201133301173862</v>
      </c>
      <c r="Y27" s="150">
        <f t="shared" ca="1" si="7"/>
        <v>56.785079206410771</v>
      </c>
      <c r="Z27" s="24">
        <f t="shared" ca="1" si="8"/>
        <v>1.9977146614641175</v>
      </c>
      <c r="AA27" s="24">
        <f ca="1">O27/г*г2</f>
        <v>72.281380019172417</v>
      </c>
      <c r="AB27" s="24">
        <f t="shared" ca="1" si="9"/>
        <v>2.5428787743745622</v>
      </c>
      <c r="AC27" s="24">
        <f t="shared" si="18"/>
        <v>15.496300812761646</v>
      </c>
      <c r="AD27" s="24">
        <f t="shared" si="19"/>
        <v>27.289388390977514</v>
      </c>
      <c r="AE27" s="150">
        <f t="shared" ca="1" si="10"/>
        <v>43.237317526785866</v>
      </c>
      <c r="AF27" s="24">
        <f t="shared" ca="1" si="11"/>
        <v>1.9977146614641175</v>
      </c>
      <c r="AG27" s="150">
        <f ca="1">O27/г*г3</f>
        <v>50.35459100477334</v>
      </c>
      <c r="AH27" s="24">
        <f t="shared" ca="1" si="23"/>
        <v>2.3265574849768607</v>
      </c>
      <c r="AI27" s="24">
        <f t="shared" si="20"/>
        <v>7.1172734779874745</v>
      </c>
      <c r="AJ27" s="24">
        <f t="shared" si="21"/>
        <v>16.460950598006612</v>
      </c>
    </row>
    <row r="28" spans="1:36" ht="10.5" customHeight="1">
      <c r="A28" s="8" t="s">
        <v>56</v>
      </c>
      <c r="B28" s="16" t="s">
        <v>23</v>
      </c>
      <c r="C28" s="176">
        <f>25.71/12*2</f>
        <v>4.2850000000000001</v>
      </c>
      <c r="D28" s="176">
        <f>19.58/12*2</f>
        <v>3.2633333333333332</v>
      </c>
      <c r="E28" s="176">
        <f>25.71/12</f>
        <v>2.1425000000000001</v>
      </c>
      <c r="F28" s="176">
        <f>19.58/12</f>
        <v>1.6316666666666666</v>
      </c>
      <c r="G28" s="176">
        <f>25.71/12*9</f>
        <v>19.282499999999999</v>
      </c>
      <c r="H28" s="176">
        <f>19.58/12*9</f>
        <v>14.684999999999999</v>
      </c>
      <c r="I28" s="176">
        <f>182.41/12*3</f>
        <v>45.602499999999999</v>
      </c>
      <c r="J28" s="176">
        <f>182.41/12*9</f>
        <v>136.8075</v>
      </c>
      <c r="K28" s="162">
        <f t="shared" si="13"/>
        <v>227.7</v>
      </c>
      <c r="L28" s="162">
        <f t="shared" ca="1" si="1"/>
        <v>0.9045850304565477</v>
      </c>
      <c r="M28" s="54">
        <f>182.41+25.71+19.58</f>
        <v>227.7</v>
      </c>
      <c r="N28" s="24">
        <f t="shared" ca="1" si="2"/>
        <v>0.90458503045654759</v>
      </c>
      <c r="O28" s="12">
        <v>300</v>
      </c>
      <c r="P28" s="24">
        <f t="shared" ca="1" si="3"/>
        <v>1.1918116343301022</v>
      </c>
      <c r="Q28" s="12">
        <f t="shared" si="14"/>
        <v>72.300000000000011</v>
      </c>
      <c r="R28" s="145">
        <f t="shared" si="15"/>
        <v>31.752305665349152</v>
      </c>
      <c r="S28" s="24">
        <f t="shared" ca="1" si="4"/>
        <v>182.40886581523907</v>
      </c>
      <c r="T28" s="24">
        <f t="shared" ca="1" si="5"/>
        <v>0.90458503045654759</v>
      </c>
      <c r="U28" s="24">
        <f ca="1">O28/г*г1</f>
        <v>230.84437724213583</v>
      </c>
      <c r="V28" s="24">
        <f t="shared" ca="1" si="6"/>
        <v>1.1447819001835753</v>
      </c>
      <c r="W28" s="24">
        <f t="shared" si="16"/>
        <v>48.435511426896767</v>
      </c>
      <c r="X28" s="24">
        <f t="shared" si="17"/>
        <v>26.553266043524896</v>
      </c>
      <c r="Y28" s="150">
        <f t="shared" ca="1" si="7"/>
        <v>25.712847582427976</v>
      </c>
      <c r="Z28" s="24">
        <f t="shared" ca="1" si="8"/>
        <v>0.9045850304565477</v>
      </c>
      <c r="AA28" s="24">
        <f ca="1">O28/г*г2</f>
        <v>40.760176702540832</v>
      </c>
      <c r="AB28" s="24">
        <f t="shared" ca="1" si="9"/>
        <v>1.4339541960758808</v>
      </c>
      <c r="AC28" s="24">
        <f t="shared" si="18"/>
        <v>15.047329120112856</v>
      </c>
      <c r="AD28" s="24">
        <f t="shared" si="19"/>
        <v>58.52066392831621</v>
      </c>
      <c r="AE28" s="150">
        <f t="shared" ca="1" si="10"/>
        <v>19.578286602332938</v>
      </c>
      <c r="AF28" s="24">
        <f t="shared" ca="1" si="11"/>
        <v>0.90458503045654759</v>
      </c>
      <c r="AG28" s="150">
        <f ca="1">O28/г*г3</f>
        <v>28.395446055323312</v>
      </c>
      <c r="AH28" s="24">
        <f t="shared" ca="1" si="23"/>
        <v>1.311968506565899</v>
      </c>
      <c r="AI28" s="24">
        <f t="shared" si="20"/>
        <v>8.8171594529903743</v>
      </c>
      <c r="AJ28" s="24">
        <f t="shared" si="21"/>
        <v>45.035398817482459</v>
      </c>
    </row>
    <row r="29" spans="1:36" s="172" customFormat="1" ht="10.5" customHeight="1">
      <c r="A29" s="7">
        <v>3</v>
      </c>
      <c r="B29" s="14" t="s">
        <v>25</v>
      </c>
      <c r="C29" s="177"/>
      <c r="D29" s="177"/>
      <c r="E29" s="177"/>
      <c r="F29" s="177"/>
      <c r="G29" s="177"/>
      <c r="H29" s="177"/>
      <c r="I29" s="177"/>
      <c r="J29" s="177"/>
      <c r="K29" s="162">
        <f t="shared" si="13"/>
        <v>0</v>
      </c>
      <c r="L29" s="162">
        <f t="shared" ca="1" si="1"/>
        <v>0</v>
      </c>
      <c r="M29" s="167">
        <f>M30+M31+M32</f>
        <v>0</v>
      </c>
      <c r="N29" s="165">
        <f t="shared" ca="1" si="2"/>
        <v>0</v>
      </c>
      <c r="O29" s="165">
        <f>U29+AA29+AG29</f>
        <v>0</v>
      </c>
      <c r="P29" s="165">
        <f t="shared" ca="1" si="3"/>
        <v>0</v>
      </c>
      <c r="Q29" s="165">
        <f t="shared" si="14"/>
        <v>0</v>
      </c>
      <c r="R29" s="168">
        <v>0</v>
      </c>
      <c r="S29" s="165">
        <f t="shared" ca="1" si="4"/>
        <v>0</v>
      </c>
      <c r="T29" s="165">
        <f t="shared" ca="1" si="5"/>
        <v>0</v>
      </c>
      <c r="U29" s="169">
        <v>0</v>
      </c>
      <c r="V29" s="165">
        <f t="shared" ca="1" si="6"/>
        <v>0</v>
      </c>
      <c r="W29" s="165">
        <f t="shared" si="16"/>
        <v>0</v>
      </c>
      <c r="X29" s="165">
        <v>0</v>
      </c>
      <c r="Y29" s="170">
        <f t="shared" ca="1" si="7"/>
        <v>0</v>
      </c>
      <c r="Z29" s="165">
        <f t="shared" ca="1" si="8"/>
        <v>0</v>
      </c>
      <c r="AA29" s="171">
        <v>0</v>
      </c>
      <c r="AB29" s="165">
        <f t="shared" ca="1" si="9"/>
        <v>0</v>
      </c>
      <c r="AC29" s="165">
        <f t="shared" si="18"/>
        <v>0</v>
      </c>
      <c r="AD29" s="165">
        <v>0</v>
      </c>
      <c r="AE29" s="170">
        <f t="shared" ca="1" si="10"/>
        <v>0</v>
      </c>
      <c r="AF29" s="165">
        <f t="shared" ca="1" si="11"/>
        <v>0</v>
      </c>
      <c r="AG29" s="169">
        <v>0</v>
      </c>
      <c r="AH29" s="165">
        <f t="shared" ca="1" si="23"/>
        <v>0</v>
      </c>
      <c r="AI29" s="165">
        <f t="shared" si="20"/>
        <v>0</v>
      </c>
      <c r="AJ29" s="165">
        <v>0</v>
      </c>
    </row>
    <row r="30" spans="1:36" ht="10.5" customHeight="1">
      <c r="A30" s="8" t="s">
        <v>57</v>
      </c>
      <c r="B30" s="18" t="s">
        <v>22</v>
      </c>
      <c r="C30" s="178"/>
      <c r="D30" s="178"/>
      <c r="E30" s="178"/>
      <c r="F30" s="178"/>
      <c r="G30" s="178"/>
      <c r="H30" s="178"/>
      <c r="I30" s="178"/>
      <c r="J30" s="178"/>
      <c r="K30" s="162">
        <f t="shared" si="13"/>
        <v>0</v>
      </c>
      <c r="L30" s="162">
        <f t="shared" ca="1" si="1"/>
        <v>0</v>
      </c>
      <c r="M30" s="12">
        <v>0</v>
      </c>
      <c r="N30" s="24">
        <f t="shared" ca="1" si="2"/>
        <v>0</v>
      </c>
      <c r="O30" s="12">
        <f>U30+AA30+AG30</f>
        <v>0</v>
      </c>
      <c r="P30" s="24">
        <f t="shared" ca="1" si="3"/>
        <v>0</v>
      </c>
      <c r="Q30" s="12">
        <f t="shared" si="14"/>
        <v>0</v>
      </c>
      <c r="R30" s="145">
        <v>0</v>
      </c>
      <c r="S30" s="24">
        <f t="shared" ca="1" si="4"/>
        <v>0</v>
      </c>
      <c r="T30" s="24">
        <f t="shared" ca="1" si="5"/>
        <v>0</v>
      </c>
      <c r="U30" s="53">
        <v>0</v>
      </c>
      <c r="V30" s="24">
        <f t="shared" ca="1" si="6"/>
        <v>0</v>
      </c>
      <c r="W30" s="24">
        <f t="shared" si="16"/>
        <v>0</v>
      </c>
      <c r="X30" s="24">
        <v>0</v>
      </c>
      <c r="Y30" s="150">
        <f t="shared" ca="1" si="7"/>
        <v>0</v>
      </c>
      <c r="Z30" s="24">
        <f t="shared" ca="1" si="8"/>
        <v>0</v>
      </c>
      <c r="AA30" s="153">
        <v>0</v>
      </c>
      <c r="AB30" s="24">
        <f t="shared" ca="1" si="9"/>
        <v>0</v>
      </c>
      <c r="AC30" s="24">
        <f t="shared" si="18"/>
        <v>0</v>
      </c>
      <c r="AD30" s="24">
        <v>0</v>
      </c>
      <c r="AE30" s="150">
        <f t="shared" ca="1" si="10"/>
        <v>0</v>
      </c>
      <c r="AF30" s="24">
        <f t="shared" ca="1" si="11"/>
        <v>0</v>
      </c>
      <c r="AG30" s="53">
        <v>0</v>
      </c>
      <c r="AH30" s="24">
        <f t="shared" ca="1" si="23"/>
        <v>0</v>
      </c>
      <c r="AI30" s="24">
        <f t="shared" si="20"/>
        <v>0</v>
      </c>
      <c r="AJ30" s="24">
        <v>0</v>
      </c>
    </row>
    <row r="31" spans="1:36" ht="10.5" customHeight="1">
      <c r="A31" s="8" t="s">
        <v>58</v>
      </c>
      <c r="B31" s="18" t="s">
        <v>18</v>
      </c>
      <c r="C31" s="178"/>
      <c r="D31" s="178"/>
      <c r="E31" s="178"/>
      <c r="F31" s="178"/>
      <c r="G31" s="178"/>
      <c r="H31" s="178"/>
      <c r="I31" s="178"/>
      <c r="J31" s="178"/>
      <c r="K31" s="162">
        <f t="shared" si="13"/>
        <v>0</v>
      </c>
      <c r="L31" s="162">
        <f t="shared" ca="1" si="1"/>
        <v>0</v>
      </c>
      <c r="M31" s="12">
        <v>0</v>
      </c>
      <c r="N31" s="24">
        <f t="shared" ca="1" si="2"/>
        <v>0</v>
      </c>
      <c r="O31" s="12">
        <f>U31+AA31+AG31</f>
        <v>0</v>
      </c>
      <c r="P31" s="24">
        <f t="shared" ca="1" si="3"/>
        <v>0</v>
      </c>
      <c r="Q31" s="12">
        <f t="shared" si="14"/>
        <v>0</v>
      </c>
      <c r="R31" s="145">
        <v>0</v>
      </c>
      <c r="S31" s="24">
        <f t="shared" ca="1" si="4"/>
        <v>0</v>
      </c>
      <c r="T31" s="24">
        <f t="shared" ca="1" si="5"/>
        <v>0</v>
      </c>
      <c r="U31" s="53">
        <v>0</v>
      </c>
      <c r="V31" s="24">
        <f t="shared" ca="1" si="6"/>
        <v>0</v>
      </c>
      <c r="W31" s="24">
        <f t="shared" si="16"/>
        <v>0</v>
      </c>
      <c r="X31" s="24">
        <v>0</v>
      </c>
      <c r="Y31" s="150">
        <f t="shared" ca="1" si="7"/>
        <v>0</v>
      </c>
      <c r="Z31" s="24">
        <f t="shared" ca="1" si="8"/>
        <v>0</v>
      </c>
      <c r="AA31" s="153">
        <v>0</v>
      </c>
      <c r="AB31" s="24">
        <f t="shared" ca="1" si="9"/>
        <v>0</v>
      </c>
      <c r="AC31" s="24">
        <f t="shared" si="18"/>
        <v>0</v>
      </c>
      <c r="AD31" s="24">
        <v>0</v>
      </c>
      <c r="AE31" s="150">
        <f t="shared" ca="1" si="10"/>
        <v>0</v>
      </c>
      <c r="AF31" s="24">
        <f t="shared" ca="1" si="11"/>
        <v>0</v>
      </c>
      <c r="AG31" s="53">
        <v>0</v>
      </c>
      <c r="AH31" s="24">
        <f t="shared" ca="1" si="23"/>
        <v>0</v>
      </c>
      <c r="AI31" s="24">
        <f t="shared" si="20"/>
        <v>0</v>
      </c>
      <c r="AJ31" s="24">
        <v>0</v>
      </c>
    </row>
    <row r="32" spans="1:36" ht="10.5" customHeight="1">
      <c r="A32" s="8" t="s">
        <v>59</v>
      </c>
      <c r="B32" s="18" t="s">
        <v>23</v>
      </c>
      <c r="C32" s="178"/>
      <c r="D32" s="178"/>
      <c r="E32" s="178"/>
      <c r="F32" s="178"/>
      <c r="G32" s="178"/>
      <c r="H32" s="178"/>
      <c r="I32" s="178"/>
      <c r="J32" s="178"/>
      <c r="K32" s="162">
        <f t="shared" si="13"/>
        <v>0</v>
      </c>
      <c r="L32" s="162">
        <f t="shared" ca="1" si="1"/>
        <v>0</v>
      </c>
      <c r="M32" s="12">
        <v>0</v>
      </c>
      <c r="N32" s="24">
        <f t="shared" ca="1" si="2"/>
        <v>0</v>
      </c>
      <c r="O32" s="12">
        <f>U32+AA32+AG32</f>
        <v>0</v>
      </c>
      <c r="P32" s="24">
        <f t="shared" ca="1" si="3"/>
        <v>0</v>
      </c>
      <c r="Q32" s="12">
        <f t="shared" si="14"/>
        <v>0</v>
      </c>
      <c r="R32" s="145">
        <v>0</v>
      </c>
      <c r="S32" s="24">
        <f t="shared" ca="1" si="4"/>
        <v>0</v>
      </c>
      <c r="T32" s="24">
        <f t="shared" ca="1" si="5"/>
        <v>0</v>
      </c>
      <c r="U32" s="53">
        <v>0</v>
      </c>
      <c r="V32" s="24">
        <f t="shared" ca="1" si="6"/>
        <v>0</v>
      </c>
      <c r="W32" s="24">
        <f t="shared" si="16"/>
        <v>0</v>
      </c>
      <c r="X32" s="24">
        <v>0</v>
      </c>
      <c r="Y32" s="150">
        <f t="shared" ca="1" si="7"/>
        <v>0</v>
      </c>
      <c r="Z32" s="24">
        <f t="shared" ca="1" si="8"/>
        <v>0</v>
      </c>
      <c r="AA32" s="153">
        <v>0</v>
      </c>
      <c r="AB32" s="24">
        <f t="shared" ca="1" si="9"/>
        <v>0</v>
      </c>
      <c r="AC32" s="24">
        <f t="shared" si="18"/>
        <v>0</v>
      </c>
      <c r="AD32" s="24">
        <v>0</v>
      </c>
      <c r="AE32" s="150">
        <f t="shared" ca="1" si="10"/>
        <v>0</v>
      </c>
      <c r="AF32" s="24">
        <f t="shared" ca="1" si="11"/>
        <v>0</v>
      </c>
      <c r="AG32" s="53">
        <v>0</v>
      </c>
      <c r="AH32" s="24">
        <f t="shared" ca="1" si="23"/>
        <v>0</v>
      </c>
      <c r="AI32" s="24">
        <f t="shared" si="20"/>
        <v>0</v>
      </c>
      <c r="AJ32" s="24">
        <v>0</v>
      </c>
    </row>
    <row r="33" spans="1:36" s="172" customFormat="1" ht="10.5" customHeight="1">
      <c r="A33" s="7">
        <v>4</v>
      </c>
      <c r="B33" s="14" t="s">
        <v>26</v>
      </c>
      <c r="C33" s="177"/>
      <c r="D33" s="177"/>
      <c r="E33" s="177"/>
      <c r="F33" s="177"/>
      <c r="G33" s="177"/>
      <c r="H33" s="177"/>
      <c r="I33" s="177"/>
      <c r="J33" s="177"/>
      <c r="K33" s="162">
        <f t="shared" si="13"/>
        <v>0</v>
      </c>
      <c r="L33" s="162">
        <f t="shared" ca="1" si="1"/>
        <v>0</v>
      </c>
      <c r="M33" s="167">
        <v>0</v>
      </c>
      <c r="N33" s="165">
        <f t="shared" ca="1" si="2"/>
        <v>0</v>
      </c>
      <c r="O33" s="166">
        <v>3818.1</v>
      </c>
      <c r="P33" s="165">
        <f t="shared" ca="1" si="3"/>
        <v>15.168186670119212</v>
      </c>
      <c r="Q33" s="166">
        <f t="shared" si="14"/>
        <v>3818.1</v>
      </c>
      <c r="R33" s="168" t="e">
        <f>Q33/M33*100</f>
        <v>#DIV/0!</v>
      </c>
      <c r="S33" s="165">
        <f t="shared" ca="1" si="4"/>
        <v>0</v>
      </c>
      <c r="T33" s="165">
        <f t="shared" ca="1" si="5"/>
        <v>0</v>
      </c>
      <c r="U33" s="162">
        <f ca="1">O33/г*г1</f>
        <v>2937.9563891606631</v>
      </c>
      <c r="V33" s="165">
        <f t="shared" ca="1" si="6"/>
        <v>14.569639243636365</v>
      </c>
      <c r="W33" s="165">
        <f t="shared" si="16"/>
        <v>2937.9563891606631</v>
      </c>
      <c r="X33" s="165" t="e">
        <f>W33/S33*100</f>
        <v>#DIV/0!</v>
      </c>
      <c r="Y33" s="170">
        <f t="shared" ca="1" si="7"/>
        <v>0</v>
      </c>
      <c r="Z33" s="165">
        <f t="shared" ca="1" si="8"/>
        <v>0</v>
      </c>
      <c r="AA33" s="162">
        <f ca="1">O33/г*г2</f>
        <v>518.75476889323716</v>
      </c>
      <c r="AB33" s="165">
        <f t="shared" ca="1" si="9"/>
        <v>18.249935053457733</v>
      </c>
      <c r="AC33" s="165">
        <f t="shared" si="18"/>
        <v>518.75476889323716</v>
      </c>
      <c r="AD33" s="165" t="e">
        <f>AC33/Y33*100</f>
        <v>#DIV/0!</v>
      </c>
      <c r="AE33" s="170">
        <f t="shared" ca="1" si="10"/>
        <v>0</v>
      </c>
      <c r="AF33" s="165">
        <f t="shared" ca="1" si="11"/>
        <v>0</v>
      </c>
      <c r="AG33" s="174">
        <f ca="1">O33/г*г3</f>
        <v>361.38884194609977</v>
      </c>
      <c r="AH33" s="165">
        <f t="shared" ca="1" si="23"/>
        <v>16.697423183064195</v>
      </c>
      <c r="AI33" s="165">
        <f t="shared" si="20"/>
        <v>361.38884194609977</v>
      </c>
      <c r="AJ33" s="165" t="e">
        <f>AI33/AE33*100</f>
        <v>#DIV/0!</v>
      </c>
    </row>
    <row r="34" spans="1:36" ht="10.5" customHeight="1">
      <c r="A34" s="7">
        <v>5</v>
      </c>
      <c r="B34" s="14" t="s">
        <v>27</v>
      </c>
      <c r="C34" s="177"/>
      <c r="D34" s="177"/>
      <c r="E34" s="177"/>
      <c r="F34" s="177"/>
      <c r="G34" s="177"/>
      <c r="H34" s="177"/>
      <c r="I34" s="177"/>
      <c r="J34" s="177"/>
      <c r="K34" s="162">
        <f t="shared" si="13"/>
        <v>0</v>
      </c>
      <c r="L34" s="162">
        <f t="shared" ca="1" si="1"/>
        <v>0</v>
      </c>
      <c r="M34" s="12">
        <v>0</v>
      </c>
      <c r="N34" s="24">
        <f t="shared" ca="1" si="2"/>
        <v>0</v>
      </c>
      <c r="O34" s="12">
        <v>0</v>
      </c>
      <c r="P34" s="24">
        <f t="shared" ca="1" si="3"/>
        <v>0</v>
      </c>
      <c r="Q34" s="12">
        <v>0</v>
      </c>
      <c r="R34" s="144">
        <v>0</v>
      </c>
      <c r="S34" s="24">
        <f t="shared" ca="1" si="4"/>
        <v>0</v>
      </c>
      <c r="T34" s="24">
        <f t="shared" ca="1" si="5"/>
        <v>0</v>
      </c>
      <c r="U34" s="54">
        <v>0</v>
      </c>
      <c r="V34" s="24">
        <f t="shared" ca="1" si="6"/>
        <v>0</v>
      </c>
      <c r="W34" s="12">
        <v>0</v>
      </c>
      <c r="X34" s="12">
        <v>0</v>
      </c>
      <c r="Y34" s="150">
        <f t="shared" ca="1" si="7"/>
        <v>0</v>
      </c>
      <c r="Z34" s="24">
        <f t="shared" ca="1" si="8"/>
        <v>0</v>
      </c>
      <c r="AA34" s="154">
        <v>0</v>
      </c>
      <c r="AB34" s="24">
        <f t="shared" ca="1" si="9"/>
        <v>0</v>
      </c>
      <c r="AC34" s="12">
        <v>0</v>
      </c>
      <c r="AD34" s="12">
        <v>0</v>
      </c>
      <c r="AE34" s="150">
        <f t="shared" ca="1" si="10"/>
        <v>0</v>
      </c>
      <c r="AF34" s="24">
        <f t="shared" ca="1" si="11"/>
        <v>0</v>
      </c>
      <c r="AG34" s="54">
        <v>0</v>
      </c>
      <c r="AH34" s="12">
        <v>0</v>
      </c>
      <c r="AI34" s="12">
        <v>0</v>
      </c>
      <c r="AJ34" s="12">
        <v>0</v>
      </c>
    </row>
    <row r="35" spans="1:36" s="172" customFormat="1" ht="10.5" customHeight="1">
      <c r="A35" s="7">
        <v>6</v>
      </c>
      <c r="B35" s="14" t="s">
        <v>28</v>
      </c>
      <c r="C35" s="165">
        <f t="shared" ref="C35:J35" si="26">C8+C25+C29+C33</f>
        <v>625.95999999999992</v>
      </c>
      <c r="D35" s="165">
        <f t="shared" si="26"/>
        <v>466.71708333333328</v>
      </c>
      <c r="E35" s="165">
        <f t="shared" si="26"/>
        <v>339.44916666666671</v>
      </c>
      <c r="F35" s="165">
        <f t="shared" si="26"/>
        <v>258.46333333333331</v>
      </c>
      <c r="G35" s="165">
        <f t="shared" si="26"/>
        <v>3490.5374999999995</v>
      </c>
      <c r="H35" s="165">
        <f t="shared" si="26"/>
        <v>2657.7599999999998</v>
      </c>
      <c r="I35" s="165">
        <f t="shared" si="26"/>
        <v>6660.9174999999996</v>
      </c>
      <c r="J35" s="165">
        <f t="shared" si="26"/>
        <v>24762.165000000001</v>
      </c>
      <c r="K35" s="162">
        <f t="shared" si="13"/>
        <v>39261.969583333332</v>
      </c>
      <c r="L35" s="162">
        <f t="shared" ca="1" si="1"/>
        <v>155.97624045377088</v>
      </c>
      <c r="M35" s="166">
        <f>M8+M25+M29+M33</f>
        <v>41213.58</v>
      </c>
      <c r="N35" s="165">
        <f t="shared" ca="1" si="2"/>
        <v>163.7294137879814</v>
      </c>
      <c r="O35" s="166">
        <f>U35+AA35+AG35</f>
        <v>40677.774788037997</v>
      </c>
      <c r="P35" s="165">
        <f t="shared" ca="1" si="3"/>
        <v>161.600817503478</v>
      </c>
      <c r="Q35" s="165">
        <f>O35-M35</f>
        <v>-535.80521196200425</v>
      </c>
      <c r="R35" s="168">
        <f>Q35/M35*100</f>
        <v>-1.3000695692099649</v>
      </c>
      <c r="S35" s="166">
        <f t="shared" ca="1" si="4"/>
        <v>33015.908581403695</v>
      </c>
      <c r="T35" s="165">
        <f t="shared" ca="1" si="5"/>
        <v>163.7294137879814</v>
      </c>
      <c r="U35" s="166">
        <f>U8+U25+U29+U33</f>
        <v>31300.727747141435</v>
      </c>
      <c r="V35" s="165">
        <f t="shared" ca="1" si="6"/>
        <v>155.2236490036581</v>
      </c>
      <c r="W35" s="165">
        <f>U35-S35</f>
        <v>-1715.1808342622608</v>
      </c>
      <c r="X35" s="165">
        <f>W35/S35*100</f>
        <v>-5.1950132768066277</v>
      </c>
      <c r="Y35" s="175">
        <f t="shared" ca="1" si="7"/>
        <v>4654.0118615116471</v>
      </c>
      <c r="Z35" s="165">
        <f t="shared" ca="1" si="8"/>
        <v>163.7294137879814</v>
      </c>
      <c r="AA35" s="166">
        <f>AA8+AA25+AA29+AA33</f>
        <v>5526.8422542144735</v>
      </c>
      <c r="AB35" s="165">
        <f t="shared" ca="1" si="9"/>
        <v>194.43582640274215</v>
      </c>
      <c r="AC35" s="165">
        <f>AA35-Y35</f>
        <v>872.83039270282643</v>
      </c>
      <c r="AD35" s="165">
        <f>AC35/Y35*100</f>
        <v>18.754365452333133</v>
      </c>
      <c r="AE35" s="166">
        <f>AE8+AE25+AE29+AE33</f>
        <v>3543.6595570846584</v>
      </c>
      <c r="AF35" s="165">
        <f t="shared" ca="1" si="11"/>
        <v>163.72941378798137</v>
      </c>
      <c r="AG35" s="166">
        <f>AG8+AG25+AG29+AG33</f>
        <v>3850.204786682084</v>
      </c>
      <c r="AH35" s="165">
        <f ca="1">AG35/а3</f>
        <v>177.8928710651189</v>
      </c>
      <c r="AI35" s="165">
        <f>AG35-AE35</f>
        <v>306.54522959742553</v>
      </c>
      <c r="AJ35" s="165">
        <f>AI35/AE35*100</f>
        <v>8.6505270796841991</v>
      </c>
    </row>
    <row r="36" spans="1:36" ht="10.5" customHeight="1">
      <c r="A36" s="7">
        <v>7</v>
      </c>
      <c r="B36" s="14" t="s">
        <v>29</v>
      </c>
      <c r="C36" s="177"/>
      <c r="D36" s="177"/>
      <c r="E36" s="177"/>
      <c r="F36" s="177"/>
      <c r="G36" s="177"/>
      <c r="H36" s="177"/>
      <c r="I36" s="177"/>
      <c r="J36" s="177"/>
      <c r="K36" s="162">
        <f t="shared" si="13"/>
        <v>0</v>
      </c>
      <c r="L36" s="162">
        <f t="shared" ca="1" si="1"/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44">
        <v>0</v>
      </c>
      <c r="S36" s="12">
        <v>0</v>
      </c>
      <c r="T36" s="12">
        <v>0</v>
      </c>
      <c r="U36" s="54">
        <v>0</v>
      </c>
      <c r="V36" s="12">
        <v>0</v>
      </c>
      <c r="W36" s="12">
        <v>0</v>
      </c>
      <c r="X36" s="12">
        <v>0</v>
      </c>
      <c r="Y36" s="151">
        <v>0</v>
      </c>
      <c r="Z36" s="12">
        <v>0</v>
      </c>
      <c r="AA36" s="154">
        <v>0</v>
      </c>
      <c r="AB36" s="12">
        <v>0</v>
      </c>
      <c r="AC36" s="12">
        <v>0</v>
      </c>
      <c r="AD36" s="12">
        <v>0</v>
      </c>
      <c r="AE36" s="151">
        <v>0</v>
      </c>
      <c r="AF36" s="12">
        <v>0</v>
      </c>
      <c r="AG36" s="54">
        <v>0</v>
      </c>
      <c r="AH36" s="12">
        <v>0</v>
      </c>
      <c r="AI36" s="12">
        <v>0</v>
      </c>
      <c r="AJ36" s="12">
        <v>0</v>
      </c>
    </row>
    <row r="37" spans="1:36" ht="10.5" customHeight="1">
      <c r="A37" s="8" t="s">
        <v>60</v>
      </c>
      <c r="B37" s="18" t="s">
        <v>30</v>
      </c>
      <c r="C37" s="178"/>
      <c r="D37" s="178"/>
      <c r="E37" s="178"/>
      <c r="F37" s="178"/>
      <c r="G37" s="178"/>
      <c r="H37" s="178"/>
      <c r="I37" s="178"/>
      <c r="J37" s="178"/>
      <c r="K37" s="162">
        <f t="shared" si="13"/>
        <v>0</v>
      </c>
      <c r="L37" s="162">
        <f t="shared" ca="1" si="1"/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44">
        <v>0</v>
      </c>
      <c r="S37" s="12">
        <v>0</v>
      </c>
      <c r="T37" s="12">
        <v>0</v>
      </c>
      <c r="U37" s="54">
        <v>0</v>
      </c>
      <c r="V37" s="12">
        <v>0</v>
      </c>
      <c r="W37" s="12">
        <v>0</v>
      </c>
      <c r="X37" s="12">
        <v>0</v>
      </c>
      <c r="Y37" s="151">
        <v>0</v>
      </c>
      <c r="Z37" s="12">
        <v>0</v>
      </c>
      <c r="AA37" s="151">
        <v>0</v>
      </c>
      <c r="AB37" s="12">
        <v>0</v>
      </c>
      <c r="AC37" s="12">
        <v>0</v>
      </c>
      <c r="AD37" s="12">
        <v>0</v>
      </c>
      <c r="AE37" s="151">
        <v>0</v>
      </c>
      <c r="AF37" s="12">
        <v>0</v>
      </c>
      <c r="AG37" s="54">
        <v>0</v>
      </c>
      <c r="AH37" s="12">
        <v>0</v>
      </c>
      <c r="AI37" s="12">
        <v>0</v>
      </c>
      <c r="AJ37" s="12">
        <v>0</v>
      </c>
    </row>
    <row r="38" spans="1:36" ht="10.5" customHeight="1">
      <c r="A38" s="8" t="s">
        <v>61</v>
      </c>
      <c r="B38" s="18" t="s">
        <v>31</v>
      </c>
      <c r="C38" s="178"/>
      <c r="D38" s="178"/>
      <c r="E38" s="178"/>
      <c r="F38" s="178"/>
      <c r="G38" s="178"/>
      <c r="H38" s="178"/>
      <c r="I38" s="178"/>
      <c r="J38" s="178"/>
      <c r="K38" s="162">
        <f t="shared" si="13"/>
        <v>0</v>
      </c>
      <c r="L38" s="162">
        <f t="shared" ca="1" si="1"/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44">
        <v>0</v>
      </c>
      <c r="S38" s="12">
        <v>0</v>
      </c>
      <c r="T38" s="12">
        <v>0</v>
      </c>
      <c r="U38" s="54">
        <v>0</v>
      </c>
      <c r="V38" s="12">
        <v>0</v>
      </c>
      <c r="W38" s="12">
        <v>0</v>
      </c>
      <c r="X38" s="12">
        <v>0</v>
      </c>
      <c r="Y38" s="151">
        <v>0</v>
      </c>
      <c r="Z38" s="12">
        <v>0</v>
      </c>
      <c r="AA38" s="151">
        <v>0</v>
      </c>
      <c r="AB38" s="12">
        <v>0</v>
      </c>
      <c r="AC38" s="12">
        <v>0</v>
      </c>
      <c r="AD38" s="12">
        <v>0</v>
      </c>
      <c r="AE38" s="151">
        <v>0</v>
      </c>
      <c r="AF38" s="12">
        <v>0</v>
      </c>
      <c r="AG38" s="54">
        <v>0</v>
      </c>
      <c r="AH38" s="12">
        <v>0</v>
      </c>
      <c r="AI38" s="12">
        <v>0</v>
      </c>
      <c r="AJ38" s="12">
        <v>0</v>
      </c>
    </row>
    <row r="39" spans="1:36" ht="10.5" customHeight="1">
      <c r="A39" s="8" t="s">
        <v>62</v>
      </c>
      <c r="B39" s="18" t="s">
        <v>32</v>
      </c>
      <c r="C39" s="178"/>
      <c r="D39" s="178"/>
      <c r="E39" s="178"/>
      <c r="F39" s="178"/>
      <c r="G39" s="178"/>
      <c r="H39" s="178"/>
      <c r="I39" s="178"/>
      <c r="J39" s="178"/>
      <c r="K39" s="162">
        <f t="shared" si="13"/>
        <v>0</v>
      </c>
      <c r="L39" s="162">
        <f t="shared" ca="1" si="1"/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44">
        <v>0</v>
      </c>
      <c r="S39" s="12">
        <v>0</v>
      </c>
      <c r="T39" s="12">
        <v>0</v>
      </c>
      <c r="U39" s="54">
        <v>0</v>
      </c>
      <c r="V39" s="12">
        <v>0</v>
      </c>
      <c r="W39" s="12">
        <v>0</v>
      </c>
      <c r="X39" s="12">
        <v>0</v>
      </c>
      <c r="Y39" s="151">
        <v>0</v>
      </c>
      <c r="Z39" s="12">
        <v>0</v>
      </c>
      <c r="AA39" s="151">
        <v>0</v>
      </c>
      <c r="AB39" s="12">
        <v>0</v>
      </c>
      <c r="AC39" s="12">
        <v>0</v>
      </c>
      <c r="AD39" s="12">
        <v>0</v>
      </c>
      <c r="AE39" s="151">
        <v>0</v>
      </c>
      <c r="AF39" s="12">
        <v>0</v>
      </c>
      <c r="AG39" s="54">
        <v>0</v>
      </c>
      <c r="AH39" s="12">
        <v>0</v>
      </c>
      <c r="AI39" s="12">
        <v>0</v>
      </c>
      <c r="AJ39" s="12">
        <v>0</v>
      </c>
    </row>
    <row r="40" spans="1:36" ht="24" customHeight="1">
      <c r="A40" s="8" t="s">
        <v>63</v>
      </c>
      <c r="B40" s="19" t="s">
        <v>33</v>
      </c>
      <c r="C40" s="179"/>
      <c r="D40" s="179"/>
      <c r="E40" s="179"/>
      <c r="F40" s="179"/>
      <c r="G40" s="179"/>
      <c r="H40" s="179"/>
      <c r="I40" s="179"/>
      <c r="J40" s="179"/>
      <c r="K40" s="162">
        <f t="shared" si="13"/>
        <v>0</v>
      </c>
      <c r="L40" s="162">
        <f t="shared" ca="1" si="1"/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44">
        <v>0</v>
      </c>
      <c r="S40" s="12">
        <v>0</v>
      </c>
      <c r="T40" s="12">
        <v>0</v>
      </c>
      <c r="U40" s="54">
        <v>0</v>
      </c>
      <c r="V40" s="12">
        <v>0</v>
      </c>
      <c r="W40" s="12">
        <v>0</v>
      </c>
      <c r="X40" s="12">
        <v>0</v>
      </c>
      <c r="Y40" s="151">
        <v>0</v>
      </c>
      <c r="Z40" s="12">
        <v>0</v>
      </c>
      <c r="AA40" s="151">
        <v>0</v>
      </c>
      <c r="AB40" s="12">
        <v>0</v>
      </c>
      <c r="AC40" s="12">
        <v>0</v>
      </c>
      <c r="AD40" s="12">
        <v>0</v>
      </c>
      <c r="AE40" s="151">
        <v>0</v>
      </c>
      <c r="AF40" s="12">
        <v>0</v>
      </c>
      <c r="AG40" s="54">
        <v>0</v>
      </c>
      <c r="AH40" s="12">
        <v>0</v>
      </c>
      <c r="AI40" s="12">
        <v>0</v>
      </c>
      <c r="AJ40" s="12">
        <v>0</v>
      </c>
    </row>
    <row r="41" spans="1:36" ht="10.5" customHeight="1">
      <c r="A41" s="8" t="s">
        <v>64</v>
      </c>
      <c r="B41" s="18" t="s">
        <v>34</v>
      </c>
      <c r="C41" s="178"/>
      <c r="D41" s="178"/>
      <c r="E41" s="178"/>
      <c r="F41" s="178"/>
      <c r="G41" s="178"/>
      <c r="H41" s="178"/>
      <c r="I41" s="178"/>
      <c r="J41" s="178"/>
      <c r="K41" s="162">
        <f t="shared" si="13"/>
        <v>0</v>
      </c>
      <c r="L41" s="162">
        <f t="shared" ca="1" si="1"/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44">
        <v>0</v>
      </c>
      <c r="S41" s="12">
        <v>0</v>
      </c>
      <c r="T41" s="12">
        <v>0</v>
      </c>
      <c r="U41" s="54">
        <v>0</v>
      </c>
      <c r="V41" s="12">
        <v>0</v>
      </c>
      <c r="W41" s="12">
        <v>0</v>
      </c>
      <c r="X41" s="12">
        <v>0</v>
      </c>
      <c r="Y41" s="151">
        <v>0</v>
      </c>
      <c r="Z41" s="12">
        <v>0</v>
      </c>
      <c r="AA41" s="151">
        <v>0</v>
      </c>
      <c r="AB41" s="12">
        <v>0</v>
      </c>
      <c r="AC41" s="12">
        <v>0</v>
      </c>
      <c r="AD41" s="12">
        <v>0</v>
      </c>
      <c r="AE41" s="151">
        <v>0</v>
      </c>
      <c r="AF41" s="12">
        <v>0</v>
      </c>
      <c r="AG41" s="54">
        <v>0</v>
      </c>
      <c r="AH41" s="12">
        <v>0</v>
      </c>
      <c r="AI41" s="12">
        <v>0</v>
      </c>
      <c r="AJ41" s="12">
        <v>0</v>
      </c>
    </row>
    <row r="42" spans="1:36" ht="21.75" customHeight="1">
      <c r="A42" s="7">
        <v>8</v>
      </c>
      <c r="B42" s="20" t="s">
        <v>35</v>
      </c>
      <c r="C42" s="180">
        <f>C35</f>
        <v>625.95999999999992</v>
      </c>
      <c r="D42" s="180">
        <f>D35</f>
        <v>466.71708333333328</v>
      </c>
      <c r="E42" s="180">
        <f t="shared" ref="E42:J42" si="27">E35</f>
        <v>339.44916666666671</v>
      </c>
      <c r="F42" s="180">
        <f t="shared" si="27"/>
        <v>258.46333333333331</v>
      </c>
      <c r="G42" s="180">
        <f t="shared" si="27"/>
        <v>3490.5374999999995</v>
      </c>
      <c r="H42" s="180">
        <f t="shared" si="27"/>
        <v>2657.7599999999998</v>
      </c>
      <c r="I42" s="180">
        <f t="shared" si="27"/>
        <v>6660.9174999999996</v>
      </c>
      <c r="J42" s="180">
        <f t="shared" si="27"/>
        <v>24762.165000000001</v>
      </c>
      <c r="K42" s="162">
        <f t="shared" si="13"/>
        <v>39261.969583333332</v>
      </c>
      <c r="L42" s="162">
        <f t="shared" ca="1" si="1"/>
        <v>155.97624045377088</v>
      </c>
      <c r="M42" s="24"/>
      <c r="N42" s="24">
        <f>M12/M45</f>
        <v>87.341281138790038</v>
      </c>
      <c r="O42" s="146"/>
      <c r="P42" s="24">
        <f>O12/O45</f>
        <v>76.126129459561469</v>
      </c>
      <c r="Q42" s="12"/>
      <c r="R42" s="144"/>
      <c r="S42" s="146"/>
      <c r="T42" s="24">
        <f>S12/S45</f>
        <v>97.501712534000902</v>
      </c>
      <c r="U42" s="148"/>
      <c r="V42" s="24">
        <f>U12/U45</f>
        <v>76.125962393445334</v>
      </c>
      <c r="W42" s="24"/>
      <c r="X42" s="24"/>
      <c r="Y42" s="30"/>
      <c r="Z42" s="24">
        <f>Y12/Y45</f>
        <v>97.501712534000902</v>
      </c>
      <c r="AA42" s="30"/>
      <c r="AB42" s="24">
        <f>AA12/AA45</f>
        <v>76.125624135627746</v>
      </c>
      <c r="AC42" s="24"/>
      <c r="AD42" s="24"/>
      <c r="AE42" s="30"/>
      <c r="AF42" s="24">
        <f>AE12/AE45</f>
        <v>97.501712534000887</v>
      </c>
      <c r="AG42" s="148"/>
      <c r="AH42" s="24">
        <f>AG12/AG45</f>
        <v>76.128213075608798</v>
      </c>
      <c r="AI42" s="12"/>
      <c r="AJ42" s="12"/>
    </row>
    <row r="43" spans="1:36" ht="14.25" customHeight="1">
      <c r="A43" s="10">
        <v>9</v>
      </c>
      <c r="B43" s="21" t="s">
        <v>36</v>
      </c>
      <c r="C43" s="181"/>
      <c r="D43" s="181"/>
      <c r="E43" s="181"/>
      <c r="F43" s="181"/>
      <c r="G43" s="181"/>
      <c r="H43" s="181"/>
      <c r="I43" s="181"/>
      <c r="J43" s="181"/>
      <c r="K43" s="162">
        <f t="shared" si="13"/>
        <v>0</v>
      </c>
      <c r="L43" s="181">
        <f ca="1">K12/О</f>
        <v>90.852423275503853</v>
      </c>
      <c r="M43" s="35"/>
      <c r="N43" s="35">
        <f>M35/M44</f>
        <v>163.7294137879814</v>
      </c>
      <c r="O43" s="35"/>
      <c r="P43" s="35">
        <f>O35/O44</f>
        <v>201.00296870170078</v>
      </c>
      <c r="Q43" s="32"/>
      <c r="R43" s="147"/>
      <c r="S43" s="32"/>
      <c r="T43" s="35">
        <f ca="1">S35/в1</f>
        <v>163.7294137879814</v>
      </c>
      <c r="U43" s="149"/>
      <c r="V43" s="35">
        <f>U35/U44</f>
        <v>201.00259914811193</v>
      </c>
      <c r="W43" s="32"/>
      <c r="X43" s="32"/>
      <c r="Y43" s="152"/>
      <c r="Z43" s="35">
        <f>Y35/Y44</f>
        <v>163.7294137879814</v>
      </c>
      <c r="AA43" s="152"/>
      <c r="AB43" s="35">
        <f>AA35/AA44</f>
        <v>201.00531910876032</v>
      </c>
      <c r="AC43" s="32"/>
      <c r="AD43" s="32"/>
      <c r="AE43" s="155"/>
      <c r="AF43" s="35">
        <f>AE35/AE44</f>
        <v>163.72941378798137</v>
      </c>
      <c r="AG43" s="58"/>
      <c r="AH43" s="35">
        <f>AG35/AG44</f>
        <v>201.00259914811193</v>
      </c>
      <c r="AI43" s="32"/>
      <c r="AJ43" s="32"/>
    </row>
    <row r="44" spans="1:36" ht="10.5" customHeight="1">
      <c r="A44" s="11">
        <v>10</v>
      </c>
      <c r="B44" s="18" t="s">
        <v>74</v>
      </c>
      <c r="C44" s="177">
        <f>28425.02/12*2</f>
        <v>4737.5033333333331</v>
      </c>
      <c r="D44" s="177">
        <f>21643.39/12*2</f>
        <v>3607.2316666666666</v>
      </c>
      <c r="E44" s="177">
        <f>28425.02/12</f>
        <v>2368.7516666666666</v>
      </c>
      <c r="F44" s="177">
        <f>21643.39/12</f>
        <v>1803.6158333333333</v>
      </c>
      <c r="G44" s="177">
        <f>28425.02/12*9</f>
        <v>21318.764999999999</v>
      </c>
      <c r="H44" s="177">
        <f>21643.39/12*9</f>
        <v>16232.5425</v>
      </c>
      <c r="I44" s="177">
        <f>201649.22/12*3</f>
        <v>50412.304999999993</v>
      </c>
      <c r="J44" s="177">
        <f>201649.22/12*9</f>
        <v>151236.91499999998</v>
      </c>
      <c r="K44" s="162">
        <f>SUM(C44:J44)/1000</f>
        <v>251.71762999999999</v>
      </c>
      <c r="L44" s="177"/>
      <c r="M44" s="36">
        <f ca="1">в1+в2+в3</f>
        <v>251.71763000000001</v>
      </c>
      <c r="N44" s="12"/>
      <c r="O44" s="36">
        <f>U44+AA44+AG44</f>
        <v>202.37400000000002</v>
      </c>
      <c r="P44" s="12"/>
      <c r="Q44" s="12"/>
      <c r="R44" s="144"/>
      <c r="S44" s="36">
        <v>201.64922000000001</v>
      </c>
      <c r="T44" s="12"/>
      <c r="U44" s="54">
        <v>155.72300000000001</v>
      </c>
      <c r="V44" s="12"/>
      <c r="W44" s="12"/>
      <c r="X44" s="12"/>
      <c r="Y44" s="151">
        <v>28.42502</v>
      </c>
      <c r="Z44" s="12"/>
      <c r="AA44" s="151">
        <v>27.495999999999999</v>
      </c>
      <c r="AB44" s="12"/>
      <c r="AC44" s="12"/>
      <c r="AD44" s="12"/>
      <c r="AE44" s="151">
        <v>21.64339</v>
      </c>
      <c r="AF44" s="12"/>
      <c r="AG44" s="55">
        <v>19.155000000000001</v>
      </c>
      <c r="AH44" s="12"/>
      <c r="AI44" s="12"/>
      <c r="AJ44" s="12"/>
    </row>
    <row r="45" spans="1:36" ht="10.5" customHeight="1">
      <c r="A45" s="13">
        <v>11</v>
      </c>
      <c r="B45" s="18" t="s">
        <v>75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97">
        <v>281</v>
      </c>
      <c r="N45" s="12"/>
      <c r="O45" s="36">
        <f>U45+AA45+AG45</f>
        <v>270.262</v>
      </c>
      <c r="P45" s="12"/>
      <c r="Q45" s="12"/>
      <c r="R45" s="144"/>
      <c r="S45" s="36">
        <v>201.64922000000001</v>
      </c>
      <c r="T45" s="36"/>
      <c r="U45" s="55">
        <v>207.96199999999999</v>
      </c>
      <c r="V45" s="36"/>
      <c r="W45" s="36"/>
      <c r="X45" s="36"/>
      <c r="Y45" s="151">
        <v>28.42502</v>
      </c>
      <c r="Z45" s="36"/>
      <c r="AA45" s="151">
        <v>36.72</v>
      </c>
      <c r="AB45" s="36"/>
      <c r="AC45" s="36"/>
      <c r="AD45" s="36"/>
      <c r="AE45" s="151">
        <v>21.64339</v>
      </c>
      <c r="AF45" s="12"/>
      <c r="AG45" s="36">
        <v>25.58</v>
      </c>
      <c r="AH45" s="12"/>
      <c r="AI45" s="12"/>
      <c r="AJ45" s="12"/>
    </row>
    <row r="46" spans="1:36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</row>
    <row r="47" spans="1:36" ht="15.6">
      <c r="B47" s="198" t="s">
        <v>83</v>
      </c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6"/>
      <c r="Z47" s="6"/>
      <c r="AA47" s="6"/>
      <c r="AB47" s="6"/>
    </row>
    <row r="48" spans="1:36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U48" s="59"/>
    </row>
    <row r="49" spans="2:14" ht="36.75" customHeight="1">
      <c r="B49" s="60" t="s">
        <v>84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51"/>
      <c r="N49" s="1"/>
    </row>
    <row r="50" spans="2:14"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1"/>
    </row>
    <row r="51" spans="2:14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1"/>
    </row>
    <row r="52" spans="2:14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2:14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2:14"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2:14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</sheetData>
  <mergeCells count="12">
    <mergeCell ref="A5:A6"/>
    <mergeCell ref="M5:N5"/>
    <mergeCell ref="O5:P5"/>
    <mergeCell ref="S5:T5"/>
    <mergeCell ref="AE4:AG4"/>
    <mergeCell ref="AE5:AF5"/>
    <mergeCell ref="AG5:AH5"/>
    <mergeCell ref="AA5:AB5"/>
    <mergeCell ref="B47:X47"/>
    <mergeCell ref="B1:Y4"/>
    <mergeCell ref="Y5:Z5"/>
    <mergeCell ref="U5:V5"/>
  </mergeCells>
  <phoneticPr fontId="14" type="noConversion"/>
  <pageMargins left="0.3" right="0.2" top="0.45" bottom="0.22" header="0.19" footer="0.19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59"/>
  <sheetViews>
    <sheetView zoomScale="125" zoomScaleNormal="12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59" sqref="J59"/>
    </sheetView>
  </sheetViews>
  <sheetFormatPr defaultRowHeight="14.4"/>
  <cols>
    <col min="1" max="1" width="5" style="4" customWidth="1"/>
    <col min="2" max="2" width="23.88671875" customWidth="1"/>
    <col min="3" max="3" width="5.109375" customWidth="1"/>
    <col min="4" max="4" width="5.5546875" customWidth="1"/>
    <col min="5" max="5" width="5.44140625" customWidth="1"/>
    <col min="6" max="6" width="5" customWidth="1"/>
    <col min="7" max="7" width="5.88671875" customWidth="1"/>
    <col min="8" max="8" width="6" customWidth="1"/>
    <col min="9" max="9" width="6.33203125" customWidth="1"/>
    <col min="10" max="10" width="6.88671875" customWidth="1"/>
    <col min="11" max="11" width="5.88671875" customWidth="1"/>
    <col min="12" max="12" width="5.109375" customWidth="1"/>
    <col min="13" max="13" width="5" customWidth="1"/>
    <col min="14" max="14" width="4.44140625" customWidth="1"/>
    <col min="15" max="15" width="5.109375" customWidth="1"/>
    <col min="16" max="16" width="4.5546875" customWidth="1"/>
    <col min="17" max="17" width="6.109375" customWidth="1"/>
    <col min="18" max="18" width="6" customWidth="1"/>
    <col min="19" max="19" width="5.6640625" customWidth="1"/>
    <col min="20" max="20" width="4.33203125" customWidth="1"/>
    <col min="21" max="21" width="5.88671875" customWidth="1"/>
    <col min="22" max="22" width="4.6640625" customWidth="1"/>
    <col min="23" max="23" width="5.44140625" customWidth="1"/>
    <col min="24" max="24" width="6" customWidth="1"/>
    <col min="25" max="25" width="5.44140625" customWidth="1"/>
    <col min="26" max="26" width="4.6640625" customWidth="1"/>
    <col min="27" max="27" width="5.44140625" customWidth="1"/>
    <col min="28" max="28" width="5" customWidth="1"/>
    <col min="29" max="29" width="5.33203125" customWidth="1"/>
    <col min="30" max="30" width="5.88671875" customWidth="1"/>
    <col min="31" max="31" width="5.109375" customWidth="1"/>
    <col min="32" max="32" width="4.5546875" customWidth="1"/>
    <col min="33" max="33" width="5.44140625" customWidth="1"/>
    <col min="34" max="34" width="4.33203125" customWidth="1"/>
    <col min="35" max="35" width="4.88671875" customWidth="1"/>
    <col min="36" max="36" width="6.109375" customWidth="1"/>
  </cols>
  <sheetData>
    <row r="1" spans="1:36" ht="15" customHeight="1">
      <c r="A1" s="2"/>
      <c r="B1" s="208" t="s">
        <v>223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</row>
    <row r="2" spans="1:36" ht="15.6">
      <c r="A2" s="3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</row>
    <row r="3" spans="1:36" ht="15.6" hidden="1">
      <c r="A3" s="3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</row>
    <row r="4" spans="1:36" ht="15" hidden="1" customHeight="1">
      <c r="A4" s="3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AE4" s="206"/>
      <c r="AF4" s="206"/>
      <c r="AG4" s="206"/>
    </row>
    <row r="5" spans="1:36" s="1" customFormat="1" ht="49.5" customHeight="1">
      <c r="A5" s="201" t="s">
        <v>0</v>
      </c>
      <c r="B5" s="42" t="s">
        <v>1</v>
      </c>
      <c r="C5" s="42" t="s">
        <v>224</v>
      </c>
      <c r="D5" s="42" t="s">
        <v>225</v>
      </c>
      <c r="E5" s="42" t="s">
        <v>226</v>
      </c>
      <c r="F5" s="42" t="s">
        <v>227</v>
      </c>
      <c r="G5" s="42" t="s">
        <v>228</v>
      </c>
      <c r="H5" s="42" t="s">
        <v>229</v>
      </c>
      <c r="I5" s="42" t="s">
        <v>230</v>
      </c>
      <c r="J5" s="42" t="s">
        <v>231</v>
      </c>
      <c r="K5" s="42" t="s">
        <v>233</v>
      </c>
      <c r="L5" s="42" t="s">
        <v>232</v>
      </c>
      <c r="M5" s="207" t="s">
        <v>2</v>
      </c>
      <c r="N5" s="207"/>
      <c r="O5" s="207" t="s">
        <v>77</v>
      </c>
      <c r="P5" s="207"/>
      <c r="Q5" s="42" t="s">
        <v>66</v>
      </c>
      <c r="R5" s="42" t="s">
        <v>70</v>
      </c>
      <c r="S5" s="207" t="s">
        <v>3</v>
      </c>
      <c r="T5" s="207"/>
      <c r="U5" s="207" t="s">
        <v>78</v>
      </c>
      <c r="V5" s="207"/>
      <c r="W5" s="42" t="s">
        <v>67</v>
      </c>
      <c r="X5" s="42" t="s">
        <v>71</v>
      </c>
      <c r="Y5" s="207" t="s">
        <v>4</v>
      </c>
      <c r="Z5" s="207"/>
      <c r="AA5" s="207" t="s">
        <v>79</v>
      </c>
      <c r="AB5" s="207"/>
      <c r="AC5" s="42" t="s">
        <v>68</v>
      </c>
      <c r="AD5" s="42" t="s">
        <v>72</v>
      </c>
      <c r="AE5" s="207" t="s">
        <v>5</v>
      </c>
      <c r="AF5" s="207"/>
      <c r="AG5" s="207" t="s">
        <v>80</v>
      </c>
      <c r="AH5" s="207"/>
      <c r="AI5" s="42" t="s">
        <v>69</v>
      </c>
      <c r="AJ5" s="42" t="s">
        <v>73</v>
      </c>
    </row>
    <row r="6" spans="1:36" ht="17.25" hidden="1" customHeight="1">
      <c r="A6" s="20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56" t="s">
        <v>6</v>
      </c>
      <c r="N6" s="42" t="s">
        <v>7</v>
      </c>
      <c r="O6" s="42" t="s">
        <v>6</v>
      </c>
      <c r="P6" s="42" t="s">
        <v>7</v>
      </c>
      <c r="Q6" s="42" t="s">
        <v>6</v>
      </c>
      <c r="R6" s="42" t="s">
        <v>65</v>
      </c>
      <c r="S6" s="42" t="s">
        <v>6</v>
      </c>
      <c r="T6" s="42" t="s">
        <v>7</v>
      </c>
      <c r="U6" s="56" t="s">
        <v>6</v>
      </c>
      <c r="V6" s="42" t="s">
        <v>7</v>
      </c>
      <c r="W6" s="42" t="s">
        <v>6</v>
      </c>
      <c r="X6" s="42" t="s">
        <v>65</v>
      </c>
      <c r="Y6" s="42" t="s">
        <v>6</v>
      </c>
      <c r="Z6" s="42" t="s">
        <v>7</v>
      </c>
      <c r="AA6" s="56" t="s">
        <v>6</v>
      </c>
      <c r="AB6" s="42" t="s">
        <v>7</v>
      </c>
      <c r="AC6" s="42" t="s">
        <v>6</v>
      </c>
      <c r="AD6" s="42" t="s">
        <v>65</v>
      </c>
      <c r="AE6" s="42" t="s">
        <v>6</v>
      </c>
      <c r="AF6" s="42" t="s">
        <v>7</v>
      </c>
      <c r="AG6" s="56" t="s">
        <v>6</v>
      </c>
      <c r="AH6" s="12" t="s">
        <v>7</v>
      </c>
      <c r="AI6" s="42" t="s">
        <v>6</v>
      </c>
      <c r="AJ6" s="48" t="s">
        <v>65</v>
      </c>
    </row>
    <row r="7" spans="1:36" ht="10.5" customHeight="1">
      <c r="A7" s="156">
        <v>1</v>
      </c>
      <c r="B7" s="157">
        <v>2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8">
        <v>3</v>
      </c>
      <c r="N7" s="158">
        <v>4</v>
      </c>
      <c r="O7" s="158">
        <v>5</v>
      </c>
      <c r="P7" s="158">
        <v>6</v>
      </c>
      <c r="Q7" s="158">
        <v>7</v>
      </c>
      <c r="R7" s="159">
        <v>8</v>
      </c>
      <c r="S7" s="158">
        <v>9</v>
      </c>
      <c r="T7" s="158">
        <v>10</v>
      </c>
      <c r="U7" s="158">
        <v>11</v>
      </c>
      <c r="V7" s="158">
        <v>12</v>
      </c>
      <c r="W7" s="158">
        <v>13</v>
      </c>
      <c r="X7" s="158">
        <v>14</v>
      </c>
      <c r="Y7" s="160">
        <v>15</v>
      </c>
      <c r="Z7" s="158">
        <v>16</v>
      </c>
      <c r="AA7" s="160">
        <v>17</v>
      </c>
      <c r="AB7" s="158">
        <v>18</v>
      </c>
      <c r="AC7" s="158">
        <v>19</v>
      </c>
      <c r="AD7" s="158">
        <v>20</v>
      </c>
      <c r="AE7" s="160">
        <v>21</v>
      </c>
      <c r="AF7" s="158">
        <v>22</v>
      </c>
      <c r="AG7" s="158">
        <v>23</v>
      </c>
      <c r="AH7" s="158">
        <v>24</v>
      </c>
      <c r="AI7" s="158">
        <v>25</v>
      </c>
      <c r="AJ7" s="161">
        <v>26</v>
      </c>
    </row>
    <row r="8" spans="1:36" ht="10.5" customHeight="1">
      <c r="A8" s="7">
        <v>1</v>
      </c>
      <c r="B8" s="14" t="s">
        <v>8</v>
      </c>
      <c r="C8" s="162">
        <f t="shared" ref="C8:J8" si="0">C9+C21</f>
        <v>586.67333333333329</v>
      </c>
      <c r="D8" s="162">
        <f t="shared" si="0"/>
        <v>436.80208333333326</v>
      </c>
      <c r="E8" s="162">
        <f t="shared" si="0"/>
        <v>319.8058333333334</v>
      </c>
      <c r="F8" s="162">
        <f t="shared" si="0"/>
        <v>243.50583333333333</v>
      </c>
      <c r="G8" s="162">
        <f t="shared" si="0"/>
        <v>3313.7474999999995</v>
      </c>
      <c r="H8" s="162">
        <f t="shared" si="0"/>
        <v>2523.1424999999999</v>
      </c>
      <c r="I8" s="162">
        <f t="shared" si="0"/>
        <v>6242.8549999999996</v>
      </c>
      <c r="J8" s="162">
        <f t="shared" si="0"/>
        <v>23507.977500000001</v>
      </c>
      <c r="K8" s="162">
        <f t="shared" ref="K8:K43" si="1">SUM(C8:J8)</f>
        <v>37174.509583333333</v>
      </c>
      <c r="L8" s="162">
        <f t="shared" ref="L8:L42" ca="1" si="2">K8/О</f>
        <v>147.68337673977518</v>
      </c>
      <c r="M8" s="12">
        <f>M9+M21</f>
        <v>39126.120000000003</v>
      </c>
      <c r="N8" s="24">
        <f t="shared" ref="N8:N35" ca="1" si="3">M8/в</f>
        <v>155.43655007398567</v>
      </c>
      <c r="O8" s="29">
        <f>O9+O21</f>
        <v>34575.599999999999</v>
      </c>
      <c r="P8" s="24">
        <f t="shared" ref="P8:P35" ca="1" si="4">O8/в</f>
        <v>137.35867447981295</v>
      </c>
      <c r="Q8" s="24">
        <f>O8-M8</f>
        <v>-4550.5200000000041</v>
      </c>
      <c r="R8" s="145">
        <f>Q8/M8*100</f>
        <v>-11.630389110905973</v>
      </c>
      <c r="S8" s="24">
        <f t="shared" ref="S8:S35" ca="1" si="5">M8/в*в1</f>
        <v>31343.659081910155</v>
      </c>
      <c r="T8" s="24">
        <f t="shared" ref="T8:T35" ca="1" si="6">S8/в1</f>
        <v>155.43655007398567</v>
      </c>
      <c r="U8" s="24">
        <f>U9+U21</f>
        <v>26605.276165910644</v>
      </c>
      <c r="V8" s="24">
        <f t="shared" ref="V8:V35" ca="1" si="7">U8/в1</f>
        <v>131.93840355995744</v>
      </c>
      <c r="W8" s="24">
        <f>U8-S8</f>
        <v>-4738.3829159995112</v>
      </c>
      <c r="X8" s="24">
        <f>W8/S8*100</f>
        <v>-15.117516763491876</v>
      </c>
      <c r="Y8" s="150">
        <f t="shared" ref="Y8:Y35" ca="1" si="8">M8/в*в2</f>
        <v>4418.2870445840445</v>
      </c>
      <c r="Z8" s="24">
        <f t="shared" ref="Z8:Z35" ca="1" si="9">Y8/в2</f>
        <v>155.43655007398567</v>
      </c>
      <c r="AA8" s="150">
        <f>AA9+AA21</f>
        <v>4697.6918853212364</v>
      </c>
      <c r="AB8" s="24">
        <f t="shared" ref="AB8:AB35" ca="1" si="10">AA8/в2</f>
        <v>165.26608900613743</v>
      </c>
      <c r="AC8" s="24">
        <f>AA8-Y8</f>
        <v>279.40484073719199</v>
      </c>
      <c r="AD8" s="24">
        <f>AC8/Y8*100</f>
        <v>6.323827264226475</v>
      </c>
      <c r="AE8" s="150">
        <f t="shared" ref="AE8:AE34" ca="1" si="11">M8/в*в3</f>
        <v>3364.1738735058007</v>
      </c>
      <c r="AF8" s="24">
        <f t="shared" ref="AF8:AF35" ca="1" si="12">AE8/в3</f>
        <v>155.43655007398567</v>
      </c>
      <c r="AG8" s="24">
        <f>AG9+AG21</f>
        <v>3272.6319487681226</v>
      </c>
      <c r="AH8" s="24">
        <f ca="1">AG8/а3</f>
        <v>151.206994318733</v>
      </c>
      <c r="AI8" s="24">
        <f>AG8-AE8</f>
        <v>-91.541924737678073</v>
      </c>
      <c r="AJ8" s="24">
        <f>AI8/AE8*100</f>
        <v>-2.7210818518806925</v>
      </c>
    </row>
    <row r="9" spans="1:36" ht="10.5" customHeight="1">
      <c r="A9" s="7" t="s">
        <v>37</v>
      </c>
      <c r="B9" s="15" t="s">
        <v>9</v>
      </c>
      <c r="C9" s="162">
        <f t="shared" ref="C9:J9" si="13">C11+C12+C15+C16+C17</f>
        <v>556.20333333333326</v>
      </c>
      <c r="D9" s="162">
        <f t="shared" si="13"/>
        <v>423.50166666666661</v>
      </c>
      <c r="E9" s="162">
        <f t="shared" si="13"/>
        <v>304.57083333333338</v>
      </c>
      <c r="F9" s="162">
        <f t="shared" si="13"/>
        <v>231.905</v>
      </c>
      <c r="G9" s="162">
        <f t="shared" si="13"/>
        <v>3176.6324999999997</v>
      </c>
      <c r="H9" s="162">
        <f t="shared" si="13"/>
        <v>2418.7350000000001</v>
      </c>
      <c r="I9" s="162">
        <f t="shared" si="13"/>
        <v>5918.5999999999995</v>
      </c>
      <c r="J9" s="162">
        <f t="shared" si="13"/>
        <v>22535.212500000001</v>
      </c>
      <c r="K9" s="162">
        <f t="shared" si="1"/>
        <v>35565.36083333334</v>
      </c>
      <c r="L9" s="162">
        <f t="shared" ca="1" si="2"/>
        <v>141.29070273438273</v>
      </c>
      <c r="M9" s="29">
        <f>M11+M12+M15+M16+M17</f>
        <v>37507.07</v>
      </c>
      <c r="N9" s="24">
        <f t="shared" ca="1" si="3"/>
        <v>149.00454131877851</v>
      </c>
      <c r="O9" s="29">
        <f>O11+O12+O15+O16+O17</f>
        <v>32198.2</v>
      </c>
      <c r="P9" s="24">
        <f t="shared" ca="1" si="4"/>
        <v>127.91396454829167</v>
      </c>
      <c r="Q9" s="24">
        <f>O9-M9</f>
        <v>-5308.869999999999</v>
      </c>
      <c r="R9" s="145">
        <f>Q9/M9*100</f>
        <v>-14.154318105893099</v>
      </c>
      <c r="S9" s="24">
        <f t="shared" ca="1" si="5"/>
        <v>30046.64953338946</v>
      </c>
      <c r="T9" s="24">
        <f t="shared" ca="1" si="6"/>
        <v>149.00454131877851</v>
      </c>
      <c r="U9" s="24">
        <f>U11+U12+U15+U16+U17</f>
        <v>24775.911424392463</v>
      </c>
      <c r="V9" s="24">
        <f t="shared" ca="1" si="7"/>
        <v>122.86638859496934</v>
      </c>
      <c r="W9" s="24">
        <f>U9-S9</f>
        <v>-5270.7381089969967</v>
      </c>
      <c r="X9" s="24">
        <f>W9/S9*100</f>
        <v>-17.541849726505674</v>
      </c>
      <c r="Y9" s="150">
        <f t="shared" ca="1" si="8"/>
        <v>4235.4570670771054</v>
      </c>
      <c r="Z9" s="24">
        <f t="shared" ca="1" si="9"/>
        <v>149.00454131877851</v>
      </c>
      <c r="AA9" s="150">
        <f>AA11+AA12+AA15+AA16+AA17</f>
        <v>4374.6810716791679</v>
      </c>
      <c r="AB9" s="24">
        <f t="shared" ca="1" si="10"/>
        <v>153.9024799869681</v>
      </c>
      <c r="AC9" s="24">
        <f>AA9-Y9</f>
        <v>139.22400460206245</v>
      </c>
      <c r="AD9" s="24">
        <f>AC9/Y9*100</f>
        <v>3.2871069732774116</v>
      </c>
      <c r="AE9" s="150">
        <f t="shared" ca="1" si="11"/>
        <v>3224.9633995334375</v>
      </c>
      <c r="AF9" s="24">
        <f t="shared" ca="1" si="12"/>
        <v>149.00454131877851</v>
      </c>
      <c r="AG9" s="24">
        <f>AG11+AG12+AG15+AG16+AG17</f>
        <v>3047.6075039283705</v>
      </c>
      <c r="AH9" s="24">
        <f ca="1">AG9/а3</f>
        <v>140.81008122703378</v>
      </c>
      <c r="AI9" s="24">
        <f>AG9-AE9</f>
        <v>-177.35589560506696</v>
      </c>
      <c r="AJ9" s="24">
        <f>AI9/AE9*100</f>
        <v>-5.4994700290466998</v>
      </c>
    </row>
    <row r="10" spans="1:36" ht="10.5" customHeight="1">
      <c r="A10" s="8" t="s">
        <v>38</v>
      </c>
      <c r="B10" s="16" t="s">
        <v>10</v>
      </c>
      <c r="C10" s="16"/>
      <c r="D10" s="176"/>
      <c r="E10" s="176"/>
      <c r="F10" s="176"/>
      <c r="G10" s="176"/>
      <c r="H10" s="176"/>
      <c r="I10" s="176"/>
      <c r="J10" s="176"/>
      <c r="K10" s="162">
        <f t="shared" si="1"/>
        <v>0</v>
      </c>
      <c r="L10" s="162">
        <f t="shared" ca="1" si="2"/>
        <v>0</v>
      </c>
      <c r="M10" s="12"/>
      <c r="N10" s="24">
        <f t="shared" ca="1" si="3"/>
        <v>0</v>
      </c>
      <c r="O10" s="163">
        <v>0</v>
      </c>
      <c r="P10" s="24">
        <f t="shared" ca="1" si="4"/>
        <v>0</v>
      </c>
      <c r="Q10" s="12"/>
      <c r="R10" s="144"/>
      <c r="S10" s="24">
        <f t="shared" ca="1" si="5"/>
        <v>0</v>
      </c>
      <c r="T10" s="24">
        <f t="shared" ca="1" si="6"/>
        <v>0</v>
      </c>
      <c r="U10" s="24"/>
      <c r="V10" s="24">
        <f t="shared" ca="1" si="7"/>
        <v>0</v>
      </c>
      <c r="W10" s="12"/>
      <c r="X10" s="12"/>
      <c r="Y10" s="150">
        <f t="shared" ca="1" si="8"/>
        <v>0</v>
      </c>
      <c r="Z10" s="24">
        <f t="shared" ca="1" si="9"/>
        <v>0</v>
      </c>
      <c r="AA10" s="150"/>
      <c r="AB10" s="24">
        <f t="shared" ca="1" si="10"/>
        <v>0</v>
      </c>
      <c r="AC10" s="12"/>
      <c r="AD10" s="12"/>
      <c r="AE10" s="150">
        <f t="shared" ca="1" si="11"/>
        <v>0</v>
      </c>
      <c r="AF10" s="24">
        <f t="shared" ca="1" si="12"/>
        <v>0</v>
      </c>
      <c r="AG10" s="24"/>
      <c r="AH10" s="24"/>
      <c r="AI10" s="12"/>
      <c r="AJ10" s="12"/>
    </row>
    <row r="11" spans="1:36" ht="10.5" customHeight="1">
      <c r="A11" s="8" t="s">
        <v>39</v>
      </c>
      <c r="B11" s="16" t="s">
        <v>11</v>
      </c>
      <c r="C11" s="176">
        <f>377.73/12*2</f>
        <v>62.955000000000005</v>
      </c>
      <c r="D11" s="176">
        <f>287.61/12*2</f>
        <v>47.935000000000002</v>
      </c>
      <c r="E11" s="176">
        <f>507.54/12</f>
        <v>42.295000000000002</v>
      </c>
      <c r="F11" s="176">
        <f>386.45/12</f>
        <v>32.204166666666666</v>
      </c>
      <c r="G11" s="176">
        <f>507.54/12*9</f>
        <v>380.65500000000003</v>
      </c>
      <c r="H11" s="176">
        <f>386.45/12*9</f>
        <v>289.83749999999998</v>
      </c>
      <c r="I11" s="176">
        <f>2679.66/12*3</f>
        <v>669.91499999999996</v>
      </c>
      <c r="J11" s="176">
        <f>3600.57/12*9</f>
        <v>2700.4275000000002</v>
      </c>
      <c r="K11" s="162">
        <f t="shared" si="1"/>
        <v>4226.2241666666669</v>
      </c>
      <c r="L11" s="162">
        <f t="shared" ca="1" si="2"/>
        <v>16.789543770401252</v>
      </c>
      <c r="M11" s="54">
        <f>3600.57+507.54+386.45</f>
        <v>4494.5600000000004</v>
      </c>
      <c r="N11" s="24">
        <f t="shared" ca="1" si="3"/>
        <v>17.855562997315683</v>
      </c>
      <c r="O11" s="29">
        <v>4867.2</v>
      </c>
      <c r="P11" s="24">
        <f t="shared" ca="1" si="4"/>
        <v>19.335951955371577</v>
      </c>
      <c r="Q11" s="12">
        <f>O11-M11</f>
        <v>372.63999999999942</v>
      </c>
      <c r="R11" s="145">
        <f>Q11/M11*100</f>
        <v>8.2909116798974622</v>
      </c>
      <c r="S11" s="24">
        <f t="shared" ca="1" si="5"/>
        <v>3600.5603510695701</v>
      </c>
      <c r="T11" s="24">
        <f t="shared" ca="1" si="6"/>
        <v>17.855562997315683</v>
      </c>
      <c r="U11" s="24">
        <f ca="1">O11/г*г1</f>
        <v>3745.2191763764122</v>
      </c>
      <c r="V11" s="24">
        <f t="shared" ca="1" si="7"/>
        <v>18.572941548578328</v>
      </c>
      <c r="W11" s="24">
        <f>U11-S11</f>
        <v>144.65882530684212</v>
      </c>
      <c r="X11" s="24">
        <f>W11/S11*100</f>
        <v>4.0176753394473792</v>
      </c>
      <c r="Y11" s="150">
        <f t="shared" ca="1" si="8"/>
        <v>507.54473530995824</v>
      </c>
      <c r="Z11" s="24">
        <f t="shared" ca="1" si="9"/>
        <v>17.855562997315683</v>
      </c>
      <c r="AA11" s="24">
        <f ca="1">O11/г*г2</f>
        <v>661.29310682202254</v>
      </c>
      <c r="AB11" s="24">
        <f t="shared" ca="1" si="10"/>
        <v>23.264472877135091</v>
      </c>
      <c r="AC11" s="24">
        <f>AA11-Y11</f>
        <v>153.7483715120643</v>
      </c>
      <c r="AD11" s="24">
        <f>AC11/Y11*100</f>
        <v>30.292575376271014</v>
      </c>
      <c r="AE11" s="150">
        <f t="shared" ca="1" si="11"/>
        <v>386.45491362047227</v>
      </c>
      <c r="AF11" s="24">
        <f t="shared" ca="1" si="12"/>
        <v>17.855562997315683</v>
      </c>
      <c r="AG11" s="150">
        <f ca="1">O11/г*г3</f>
        <v>460.68771680156539</v>
      </c>
      <c r="AH11" s="24">
        <f ca="1">AG11/а3</f>
        <v>21.285377050525142</v>
      </c>
      <c r="AI11" s="24">
        <f>AG11-AE11</f>
        <v>74.232803181093118</v>
      </c>
      <c r="AJ11" s="24">
        <f>AI11/AE11*100</f>
        <v>19.208658129262474</v>
      </c>
    </row>
    <row r="12" spans="1:36" ht="30.75" customHeight="1">
      <c r="A12" s="8" t="s">
        <v>40</v>
      </c>
      <c r="B12" s="17" t="s">
        <v>12</v>
      </c>
      <c r="C12" s="182">
        <f>2003.01/12*2</f>
        <v>333.83499999999998</v>
      </c>
      <c r="D12" s="182">
        <f>1525.13/12*2</f>
        <v>254.18833333333336</v>
      </c>
      <c r="E12" s="182">
        <f>2190.83/12</f>
        <v>182.56916666666666</v>
      </c>
      <c r="F12" s="182">
        <f>1668.14/12</f>
        <v>139.01166666666668</v>
      </c>
      <c r="G12" s="182">
        <f>2771.49/12*9</f>
        <v>2078.6174999999998</v>
      </c>
      <c r="H12" s="182">
        <f>2110.26/12*9</f>
        <v>1582.6950000000002</v>
      </c>
      <c r="I12" s="182">
        <f>14209.51/12*3</f>
        <v>3552.3774999999996</v>
      </c>
      <c r="J12" s="182">
        <f>19661.15/12*9</f>
        <v>14745.862500000001</v>
      </c>
      <c r="K12" s="162">
        <f t="shared" si="1"/>
        <v>22869.156666666666</v>
      </c>
      <c r="L12" s="162">
        <f t="shared" ca="1" si="2"/>
        <v>90.852423275503853</v>
      </c>
      <c r="M12" s="54">
        <f>19661.15+2771.49+2110.26</f>
        <v>24542.9</v>
      </c>
      <c r="N12" s="24">
        <f t="shared" ca="1" si="3"/>
        <v>97.501712534000902</v>
      </c>
      <c r="O12" s="12">
        <v>20574</v>
      </c>
      <c r="P12" s="24">
        <f t="shared" ca="1" si="4"/>
        <v>81.734441882358411</v>
      </c>
      <c r="Q12" s="24">
        <f>O12-M12</f>
        <v>-3968.9000000000015</v>
      </c>
      <c r="R12" s="145">
        <f>Q12/M12*100</f>
        <v>-16.17127560312759</v>
      </c>
      <c r="S12" s="24">
        <f t="shared" ca="1" si="5"/>
        <v>19661.144281145505</v>
      </c>
      <c r="T12" s="24">
        <f t="shared" ca="1" si="6"/>
        <v>97.501712534000902</v>
      </c>
      <c r="U12" s="24">
        <f ca="1">O12/г*г1</f>
        <v>15831.307391265676</v>
      </c>
      <c r="V12" s="24">
        <f t="shared" ca="1" si="7"/>
        <v>78.509142714589601</v>
      </c>
      <c r="W12" s="24">
        <f>U12-S12</f>
        <v>-3829.836889879829</v>
      </c>
      <c r="X12" s="24">
        <f>W12/S12*100</f>
        <v>-19.479216647387794</v>
      </c>
      <c r="Y12" s="150">
        <f t="shared" ca="1" si="8"/>
        <v>2771.4881288132265</v>
      </c>
      <c r="Z12" s="24">
        <f t="shared" ca="1" si="9"/>
        <v>97.501712534000902</v>
      </c>
      <c r="AA12" s="24">
        <f ca="1">O12/г*г2</f>
        <v>2795.3329182602506</v>
      </c>
      <c r="AB12" s="24">
        <f t="shared" ca="1" si="10"/>
        <v>98.340578766883908</v>
      </c>
      <c r="AC12" s="24">
        <f>AA12-Y12</f>
        <v>23.844789447024141</v>
      </c>
      <c r="AD12" s="24">
        <f>AC12/Y12*100</f>
        <v>0.86036051170945016</v>
      </c>
      <c r="AE12" s="150">
        <f t="shared" ca="1" si="11"/>
        <v>2110.2675900412696</v>
      </c>
      <c r="AF12" s="24">
        <f t="shared" ca="1" si="12"/>
        <v>97.501712534000887</v>
      </c>
      <c r="AG12" s="150">
        <f ca="1">O12/г*г3</f>
        <v>1947.3596904740727</v>
      </c>
      <c r="AH12" s="24">
        <f ca="1">AG12/а3</f>
        <v>89.97480018028935</v>
      </c>
      <c r="AI12" s="24">
        <f>AG12-AE12</f>
        <v>-162.90789956719686</v>
      </c>
      <c r="AJ12" s="24">
        <f>AI12/AE12*100</f>
        <v>-7.7197745127674038</v>
      </c>
    </row>
    <row r="13" spans="1:36" ht="26.25" customHeight="1">
      <c r="A13" s="8" t="s">
        <v>41</v>
      </c>
      <c r="B13" s="17" t="s">
        <v>13</v>
      </c>
      <c r="C13" s="182"/>
      <c r="D13" s="182"/>
      <c r="E13" s="182"/>
      <c r="F13" s="182"/>
      <c r="G13" s="182"/>
      <c r="H13" s="182"/>
      <c r="I13" s="182"/>
      <c r="J13" s="182"/>
      <c r="K13" s="162">
        <f t="shared" si="1"/>
        <v>0</v>
      </c>
      <c r="L13" s="162">
        <f t="shared" ca="1" si="2"/>
        <v>0</v>
      </c>
      <c r="M13" s="54">
        <v>0</v>
      </c>
      <c r="N13" s="24">
        <f t="shared" ca="1" si="3"/>
        <v>0</v>
      </c>
      <c r="O13" s="12">
        <v>0</v>
      </c>
      <c r="P13" s="24">
        <f t="shared" ca="1" si="4"/>
        <v>0</v>
      </c>
      <c r="Q13" s="12">
        <v>0</v>
      </c>
      <c r="R13" s="144">
        <v>0</v>
      </c>
      <c r="S13" s="24">
        <f t="shared" ca="1" si="5"/>
        <v>0</v>
      </c>
      <c r="T13" s="24">
        <f t="shared" ca="1" si="6"/>
        <v>0</v>
      </c>
      <c r="U13" s="54">
        <v>0</v>
      </c>
      <c r="V13" s="24">
        <f t="shared" ca="1" si="7"/>
        <v>0</v>
      </c>
      <c r="W13" s="12">
        <v>0</v>
      </c>
      <c r="X13" s="12">
        <v>0</v>
      </c>
      <c r="Y13" s="150">
        <f t="shared" ca="1" si="8"/>
        <v>0</v>
      </c>
      <c r="Z13" s="24">
        <f t="shared" ca="1" si="9"/>
        <v>0</v>
      </c>
      <c r="AA13" s="154">
        <v>0</v>
      </c>
      <c r="AB13" s="24">
        <f t="shared" ca="1" si="10"/>
        <v>0</v>
      </c>
      <c r="AC13" s="12">
        <v>0</v>
      </c>
      <c r="AD13" s="12">
        <v>0</v>
      </c>
      <c r="AE13" s="150">
        <f t="shared" ca="1" si="11"/>
        <v>0</v>
      </c>
      <c r="AF13" s="24">
        <f t="shared" ca="1" si="12"/>
        <v>0</v>
      </c>
      <c r="AG13" s="54">
        <v>0</v>
      </c>
      <c r="AH13" s="12">
        <v>0</v>
      </c>
      <c r="AI13" s="12">
        <v>0</v>
      </c>
      <c r="AJ13" s="12">
        <v>0</v>
      </c>
    </row>
    <row r="14" spans="1:36" ht="19.5" customHeight="1">
      <c r="A14" s="8" t="s">
        <v>42</v>
      </c>
      <c r="B14" s="17" t="s">
        <v>14</v>
      </c>
      <c r="C14" s="17"/>
      <c r="D14" s="182"/>
      <c r="E14" s="182"/>
      <c r="F14" s="182"/>
      <c r="G14" s="182"/>
      <c r="H14" s="182"/>
      <c r="I14" s="182"/>
      <c r="J14" s="182"/>
      <c r="K14" s="162">
        <f t="shared" si="1"/>
        <v>0</v>
      </c>
      <c r="L14" s="162">
        <f t="shared" ca="1" si="2"/>
        <v>0</v>
      </c>
      <c r="M14" s="54">
        <v>0</v>
      </c>
      <c r="N14" s="24">
        <f t="shared" ca="1" si="3"/>
        <v>0</v>
      </c>
      <c r="O14" s="12">
        <v>0</v>
      </c>
      <c r="P14" s="24">
        <f t="shared" ca="1" si="4"/>
        <v>0</v>
      </c>
      <c r="Q14" s="12">
        <v>0</v>
      </c>
      <c r="R14" s="144">
        <v>0</v>
      </c>
      <c r="S14" s="24">
        <f t="shared" ca="1" si="5"/>
        <v>0</v>
      </c>
      <c r="T14" s="24">
        <f t="shared" ca="1" si="6"/>
        <v>0</v>
      </c>
      <c r="U14" s="54">
        <v>0</v>
      </c>
      <c r="V14" s="24">
        <f t="shared" ca="1" si="7"/>
        <v>0</v>
      </c>
      <c r="W14" s="12">
        <v>0</v>
      </c>
      <c r="X14" s="12">
        <v>0</v>
      </c>
      <c r="Y14" s="150">
        <f t="shared" ca="1" si="8"/>
        <v>0</v>
      </c>
      <c r="Z14" s="24">
        <f t="shared" ca="1" si="9"/>
        <v>0</v>
      </c>
      <c r="AA14" s="154">
        <v>0</v>
      </c>
      <c r="AB14" s="24">
        <f t="shared" ca="1" si="10"/>
        <v>0</v>
      </c>
      <c r="AC14" s="12">
        <v>0</v>
      </c>
      <c r="AD14" s="12">
        <v>0</v>
      </c>
      <c r="AE14" s="150">
        <f t="shared" ca="1" si="11"/>
        <v>0</v>
      </c>
      <c r="AF14" s="24">
        <f t="shared" ca="1" si="12"/>
        <v>0</v>
      </c>
      <c r="AG14" s="54">
        <v>0</v>
      </c>
      <c r="AH14" s="12">
        <v>0</v>
      </c>
      <c r="AI14" s="12">
        <v>0</v>
      </c>
      <c r="AJ14" s="12">
        <v>0</v>
      </c>
    </row>
    <row r="15" spans="1:36" ht="10.5" customHeight="1">
      <c r="A15" s="8" t="s">
        <v>43</v>
      </c>
      <c r="B15" s="17" t="s">
        <v>15</v>
      </c>
      <c r="C15" s="182">
        <f>0.21/12*2</f>
        <v>3.4999999999999996E-2</v>
      </c>
      <c r="D15" s="182">
        <f>0.16/12*2</f>
        <v>2.6666666666666668E-2</v>
      </c>
      <c r="E15" s="182">
        <f>0.21/12</f>
        <v>1.7499999999999998E-2</v>
      </c>
      <c r="F15" s="182">
        <f>0.16/12</f>
        <v>1.3333333333333334E-2</v>
      </c>
      <c r="G15" s="182">
        <f>0.21/12*9</f>
        <v>0.15749999999999997</v>
      </c>
      <c r="H15" s="182">
        <f>0.16/12*9</f>
        <v>0.12000000000000001</v>
      </c>
      <c r="I15" s="182">
        <f>1.47/12*3</f>
        <v>0.36749999999999999</v>
      </c>
      <c r="J15" s="182">
        <f>1.47/12*9</f>
        <v>1.1025</v>
      </c>
      <c r="K15" s="162">
        <f t="shared" si="1"/>
        <v>1.84</v>
      </c>
      <c r="L15" s="162">
        <f t="shared" ca="1" si="2"/>
        <v>7.3097780238912955E-3</v>
      </c>
      <c r="M15" s="57">
        <f>1.47</f>
        <v>1.47</v>
      </c>
      <c r="N15" s="24">
        <f t="shared" ca="1" si="3"/>
        <v>5.8398770082175007E-3</v>
      </c>
      <c r="O15" s="29">
        <v>247</v>
      </c>
      <c r="P15" s="24">
        <f t="shared" ca="1" si="4"/>
        <v>0.98125824559845087</v>
      </c>
      <c r="Q15" s="12">
        <f t="shared" ref="Q15:Q33" si="14">O15-M15</f>
        <v>245.53</v>
      </c>
      <c r="R15" s="145">
        <f t="shared" ref="R15:R28" si="15">Q15/M15*100</f>
        <v>16702.721088435374</v>
      </c>
      <c r="S15" s="24">
        <f t="shared" ca="1" si="5"/>
        <v>1.1776066436029926</v>
      </c>
      <c r="T15" s="24">
        <f t="shared" ca="1" si="6"/>
        <v>5.8398770082175007E-3</v>
      </c>
      <c r="U15" s="24">
        <f ca="1">O15/г*г1</f>
        <v>190.06187059602516</v>
      </c>
      <c r="V15" s="24">
        <f t="shared" ca="1" si="7"/>
        <v>0.94253709781781025</v>
      </c>
      <c r="W15" s="24">
        <f t="shared" ref="W15:W33" si="16">U15-S15</f>
        <v>188.88426395242217</v>
      </c>
      <c r="X15" s="24">
        <f t="shared" ref="X15:X28" si="17">W15/S15*100</f>
        <v>16039.673772093704</v>
      </c>
      <c r="Y15" s="150">
        <f t="shared" ca="1" si="8"/>
        <v>0.16599862075612262</v>
      </c>
      <c r="Z15" s="24">
        <f t="shared" ca="1" si="9"/>
        <v>5.8398770082175007E-3</v>
      </c>
      <c r="AA15" s="24">
        <f ca="1">O15/г*г2</f>
        <v>33.559212151758615</v>
      </c>
      <c r="AB15" s="24">
        <f t="shared" ca="1" si="10"/>
        <v>1.180622288102475</v>
      </c>
      <c r="AC15" s="24">
        <f t="shared" ref="AC15:AC33" si="18">AA15-Y15</f>
        <v>33.393213531002495</v>
      </c>
      <c r="AD15" s="24">
        <f t="shared" ref="AD15:AD28" si="19">AC15/Y15*100</f>
        <v>20116.560835804914</v>
      </c>
      <c r="AE15" s="150">
        <f t="shared" ca="1" si="11"/>
        <v>0.12639473564088458</v>
      </c>
      <c r="AF15" s="24">
        <f t="shared" ca="1" si="12"/>
        <v>5.8398770082175007E-3</v>
      </c>
      <c r="AG15" s="150">
        <f ca="1">O15/г*г3</f>
        <v>23.378917252216191</v>
      </c>
      <c r="AH15" s="24">
        <f ca="1">AG15/а3</f>
        <v>1.0801874037392567</v>
      </c>
      <c r="AI15" s="24">
        <f t="shared" ref="AI15:AI33" si="20">AG15-AE15</f>
        <v>23.252522516575304</v>
      </c>
      <c r="AJ15" s="24">
        <f t="shared" ref="AJ15:AJ28" si="21">AI15/AE15*100</f>
        <v>18396.749198986316</v>
      </c>
    </row>
    <row r="16" spans="1:36" s="172" customFormat="1" ht="10.5" customHeight="1">
      <c r="A16" s="7" t="s">
        <v>44</v>
      </c>
      <c r="B16" s="15" t="s">
        <v>16</v>
      </c>
      <c r="C16" s="15">
        <f>477.9/12*2</f>
        <v>79.649999999999991</v>
      </c>
      <c r="D16" s="183">
        <f>363.88/12*2</f>
        <v>60.646666666666668</v>
      </c>
      <c r="E16" s="183">
        <f>477.9/12</f>
        <v>39.824999999999996</v>
      </c>
      <c r="F16" s="183">
        <f>363.88/12</f>
        <v>30.323333333333334</v>
      </c>
      <c r="G16" s="183">
        <f>477.9/12*9</f>
        <v>358.42499999999995</v>
      </c>
      <c r="H16" s="183">
        <f>363.88/12*9</f>
        <v>272.91000000000003</v>
      </c>
      <c r="I16" s="183">
        <f>3390.23/12*3</f>
        <v>847.55749999999989</v>
      </c>
      <c r="J16" s="183">
        <f>3390.23/12*9</f>
        <v>2542.6724999999997</v>
      </c>
      <c r="K16" s="162">
        <f t="shared" si="1"/>
        <v>4232.0099999999993</v>
      </c>
      <c r="L16" s="162">
        <f t="shared" ca="1" si="2"/>
        <v>16.812529182004454</v>
      </c>
      <c r="M16" s="164">
        <f>3390.23+477.9+363.88</f>
        <v>4232.01</v>
      </c>
      <c r="N16" s="165">
        <f t="shared" ca="1" si="3"/>
        <v>16.812529182004454</v>
      </c>
      <c r="O16" s="167">
        <v>3519</v>
      </c>
      <c r="P16" s="165">
        <f t="shared" ca="1" si="4"/>
        <v>13.979950470692099</v>
      </c>
      <c r="Q16" s="167">
        <f t="shared" si="14"/>
        <v>-713.01000000000022</v>
      </c>
      <c r="R16" s="168">
        <f t="shared" si="15"/>
        <v>-16.848022570835138</v>
      </c>
      <c r="S16" s="165">
        <f t="shared" ca="1" si="5"/>
        <v>3390.2333957784363</v>
      </c>
      <c r="T16" s="165">
        <f t="shared" ca="1" si="6"/>
        <v>16.812529182004454</v>
      </c>
      <c r="U16" s="162">
        <f ca="1">O16/г*г1</f>
        <v>2707.8045450502536</v>
      </c>
      <c r="V16" s="165">
        <f t="shared" ca="1" si="7"/>
        <v>13.42829168915334</v>
      </c>
      <c r="W16" s="165">
        <f t="shared" si="16"/>
        <v>-682.42885072818262</v>
      </c>
      <c r="X16" s="165">
        <f t="shared" si="17"/>
        <v>-20.129258698765462</v>
      </c>
      <c r="Y16" s="170">
        <f t="shared" ca="1" si="8"/>
        <v>477.89647824906024</v>
      </c>
      <c r="Z16" s="165">
        <f t="shared" ca="1" si="9"/>
        <v>16.812529182004454</v>
      </c>
      <c r="AA16" s="162">
        <f ca="1">O16/г*г2</f>
        <v>478.116872720804</v>
      </c>
      <c r="AB16" s="165">
        <f t="shared" ca="1" si="10"/>
        <v>16.820282719970084</v>
      </c>
      <c r="AC16" s="165">
        <f t="shared" si="18"/>
        <v>0.22039447174375937</v>
      </c>
      <c r="AD16" s="165">
        <f t="shared" si="19"/>
        <v>4.6117617888972749E-2</v>
      </c>
      <c r="AE16" s="170">
        <f t="shared" ca="1" si="11"/>
        <v>363.88012597250338</v>
      </c>
      <c r="AF16" s="165">
        <f t="shared" ca="1" si="12"/>
        <v>16.812529182004454</v>
      </c>
      <c r="AG16" s="174">
        <f ca="1">O16/г*г3</f>
        <v>333.07858222894242</v>
      </c>
      <c r="AH16" s="165">
        <f ca="1">AG16/а3</f>
        <v>15.389390582017993</v>
      </c>
      <c r="AI16" s="165">
        <f t="shared" si="20"/>
        <v>-30.801543743560956</v>
      </c>
      <c r="AJ16" s="165">
        <f t="shared" si="21"/>
        <v>-8.4647502144397055</v>
      </c>
    </row>
    <row r="17" spans="1:36" s="172" customFormat="1" ht="10.5" customHeight="1">
      <c r="A17" s="7" t="s">
        <v>45</v>
      </c>
      <c r="B17" s="15" t="s">
        <v>17</v>
      </c>
      <c r="C17" s="169">
        <f t="shared" ref="C17:J17" si="22">C18+C19+C20</f>
        <v>79.728333333333339</v>
      </c>
      <c r="D17" s="169">
        <f t="shared" si="22"/>
        <v>60.704999999999998</v>
      </c>
      <c r="E17" s="169">
        <f t="shared" si="22"/>
        <v>39.864166666666669</v>
      </c>
      <c r="F17" s="169">
        <f t="shared" si="22"/>
        <v>30.352499999999999</v>
      </c>
      <c r="G17" s="169">
        <f t="shared" si="22"/>
        <v>358.77750000000003</v>
      </c>
      <c r="H17" s="169">
        <f t="shared" si="22"/>
        <v>273.17250000000001</v>
      </c>
      <c r="I17" s="169">
        <f t="shared" si="22"/>
        <v>848.38250000000005</v>
      </c>
      <c r="J17" s="169">
        <f t="shared" si="22"/>
        <v>2545.1475</v>
      </c>
      <c r="K17" s="162">
        <f t="shared" si="1"/>
        <v>4236.13</v>
      </c>
      <c r="L17" s="162">
        <f t="shared" ca="1" si="2"/>
        <v>16.828896728449255</v>
      </c>
      <c r="M17" s="173">
        <f>M18+M19+M20</f>
        <v>4236.13</v>
      </c>
      <c r="N17" s="165">
        <f t="shared" ca="1" si="3"/>
        <v>16.828896728449255</v>
      </c>
      <c r="O17" s="166">
        <f>O18+O19+O20</f>
        <v>2991</v>
      </c>
      <c r="P17" s="165">
        <f t="shared" ca="1" si="4"/>
        <v>11.88236199427112</v>
      </c>
      <c r="Q17" s="165">
        <f t="shared" si="14"/>
        <v>-1245.1300000000001</v>
      </c>
      <c r="R17" s="168">
        <f t="shared" si="15"/>
        <v>-29.393101722562815</v>
      </c>
      <c r="S17" s="165">
        <f t="shared" ca="1" si="5"/>
        <v>3393.5338987523442</v>
      </c>
      <c r="T17" s="165">
        <f t="shared" ca="1" si="6"/>
        <v>16.828896728449255</v>
      </c>
      <c r="U17" s="169">
        <f ca="1">U18+U19+U20</f>
        <v>2301.5184411040946</v>
      </c>
      <c r="V17" s="165">
        <f t="shared" ca="1" si="7"/>
        <v>11.413475544830247</v>
      </c>
      <c r="W17" s="165">
        <f t="shared" si="16"/>
        <v>-1092.0154576482496</v>
      </c>
      <c r="X17" s="165">
        <f t="shared" si="17"/>
        <v>-32.179300111006306</v>
      </c>
      <c r="Y17" s="170">
        <f t="shared" ca="1" si="8"/>
        <v>478.36172608410465</v>
      </c>
      <c r="Z17" s="165">
        <f t="shared" ca="1" si="9"/>
        <v>16.828896728449255</v>
      </c>
      <c r="AA17" s="171">
        <f ca="1">AA18+AA19+AA20</f>
        <v>406.3789617243321</v>
      </c>
      <c r="AB17" s="165">
        <f t="shared" ca="1" si="10"/>
        <v>14.296523334876531</v>
      </c>
      <c r="AC17" s="165">
        <f t="shared" si="18"/>
        <v>-71.982764359772546</v>
      </c>
      <c r="AD17" s="165">
        <f t="shared" si="19"/>
        <v>-15.047768338204524</v>
      </c>
      <c r="AE17" s="170">
        <f t="shared" ca="1" si="11"/>
        <v>364.23437516355131</v>
      </c>
      <c r="AF17" s="165">
        <f t="shared" ca="1" si="12"/>
        <v>16.828896728449255</v>
      </c>
      <c r="AG17" s="169">
        <f ca="1">AG18+AG19+AG20</f>
        <v>283.10259717157339</v>
      </c>
      <c r="AH17" s="165">
        <f>AF17</f>
        <v>16.828896728449255</v>
      </c>
      <c r="AI17" s="165">
        <f t="shared" si="20"/>
        <v>-81.131777991977913</v>
      </c>
      <c r="AJ17" s="165">
        <f t="shared" si="21"/>
        <v>-22.274607649414612</v>
      </c>
    </row>
    <row r="18" spans="1:36" ht="10.5" customHeight="1">
      <c r="A18" s="8" t="s">
        <v>46</v>
      </c>
      <c r="B18" s="16" t="s">
        <v>18</v>
      </c>
      <c r="C18" s="176">
        <f>177.11/12*2</f>
        <v>29.518333333333334</v>
      </c>
      <c r="D18" s="176">
        <f>134.85/12*2</f>
        <v>22.474999999999998</v>
      </c>
      <c r="E18" s="176">
        <f>177.11/12</f>
        <v>14.759166666666667</v>
      </c>
      <c r="F18" s="176">
        <f>134.85/12</f>
        <v>11.237499999999999</v>
      </c>
      <c r="G18" s="176">
        <f>177.11/12*9</f>
        <v>132.83250000000001</v>
      </c>
      <c r="H18" s="176">
        <f>134.85/12*9</f>
        <v>101.13749999999999</v>
      </c>
      <c r="I18" s="176">
        <f>1256.43/12*3</f>
        <v>314.10750000000002</v>
      </c>
      <c r="J18" s="176">
        <f>1256.43/12*9</f>
        <v>942.32249999999999</v>
      </c>
      <c r="K18" s="162">
        <f t="shared" si="1"/>
        <v>1568.3899999999999</v>
      </c>
      <c r="L18" s="162">
        <f t="shared" ca="1" si="2"/>
        <v>6.2307514972232969</v>
      </c>
      <c r="M18" s="54">
        <f>1256.43+177.11+134.85</f>
        <v>1568.3899999999999</v>
      </c>
      <c r="N18" s="24">
        <f t="shared" ca="1" si="3"/>
        <v>6.2307514972232969</v>
      </c>
      <c r="O18" s="12">
        <v>1275</v>
      </c>
      <c r="P18" s="24">
        <f t="shared" ca="1" si="4"/>
        <v>5.0651994459029348</v>
      </c>
      <c r="Q18" s="24">
        <f t="shared" si="14"/>
        <v>-293.38999999999987</v>
      </c>
      <c r="R18" s="145">
        <f t="shared" si="15"/>
        <v>-18.70644418798895</v>
      </c>
      <c r="S18" s="24">
        <f t="shared" ca="1" si="5"/>
        <v>1256.42617942891</v>
      </c>
      <c r="T18" s="24">
        <f t="shared" ca="1" si="6"/>
        <v>6.2307514972232969</v>
      </c>
      <c r="U18" s="24">
        <f ca="1">O18/г*г1</f>
        <v>981.08860327907735</v>
      </c>
      <c r="V18" s="24">
        <f t="shared" ca="1" si="7"/>
        <v>4.8653230757801955</v>
      </c>
      <c r="W18" s="24">
        <f t="shared" si="16"/>
        <v>-275.33757614983267</v>
      </c>
      <c r="X18" s="24">
        <f t="shared" si="17"/>
        <v>-21.914345678071058</v>
      </c>
      <c r="Y18" s="150">
        <f t="shared" ca="1" si="8"/>
        <v>177.10923592360217</v>
      </c>
      <c r="Z18" s="24">
        <f t="shared" ca="1" si="9"/>
        <v>6.2307514972232969</v>
      </c>
      <c r="AA18" s="24">
        <f ca="1">O18/г*г2</f>
        <v>173.23075098579855</v>
      </c>
      <c r="AB18" s="24">
        <f t="shared" ca="1" si="10"/>
        <v>6.0943053333224935</v>
      </c>
      <c r="AC18" s="24">
        <f t="shared" si="18"/>
        <v>-3.8784849378036199</v>
      </c>
      <c r="AD18" s="24">
        <f t="shared" si="19"/>
        <v>-2.1898829372606197</v>
      </c>
      <c r="AE18" s="150">
        <f t="shared" ca="1" si="11"/>
        <v>134.85458464748774</v>
      </c>
      <c r="AF18" s="24">
        <f t="shared" ca="1" si="12"/>
        <v>6.2307514972232969</v>
      </c>
      <c r="AG18" s="150">
        <f ca="1">O18/г*г3</f>
        <v>120.68064573512407</v>
      </c>
      <c r="AH18" s="24">
        <f t="shared" ref="AH18:AH33" ca="1" si="23">AG18/а3</f>
        <v>5.5758661529050704</v>
      </c>
      <c r="AI18" s="24">
        <f t="shared" si="20"/>
        <v>-14.173938912363667</v>
      </c>
      <c r="AJ18" s="24">
        <f t="shared" si="21"/>
        <v>-10.510535440389063</v>
      </c>
    </row>
    <row r="19" spans="1:36" ht="10.5" customHeight="1">
      <c r="A19" s="8" t="s">
        <v>47</v>
      </c>
      <c r="B19" s="16" t="s">
        <v>19</v>
      </c>
      <c r="C19" s="176">
        <f>167.9/12*2</f>
        <v>27.983333333333334</v>
      </c>
      <c r="D19" s="176">
        <f>127.84/12*2</f>
        <v>21.306666666666668</v>
      </c>
      <c r="E19" s="176">
        <f>167.9/12</f>
        <v>13.991666666666667</v>
      </c>
      <c r="F19" s="176">
        <f>127.84/12</f>
        <v>10.653333333333334</v>
      </c>
      <c r="G19" s="176">
        <f>167.9/12*9</f>
        <v>125.92500000000001</v>
      </c>
      <c r="H19" s="176">
        <f>127.84/12*9</f>
        <v>95.88000000000001</v>
      </c>
      <c r="I19" s="176">
        <f>1191.04/12*3</f>
        <v>297.76</v>
      </c>
      <c r="J19" s="176">
        <f>1191.04/12*9</f>
        <v>893.28</v>
      </c>
      <c r="K19" s="162">
        <f t="shared" si="1"/>
        <v>1486.78</v>
      </c>
      <c r="L19" s="162">
        <f t="shared" ca="1" si="2"/>
        <v>5.9065390056310321</v>
      </c>
      <c r="M19" s="54">
        <f>1191.04+167.9+127.84</f>
        <v>1486.78</v>
      </c>
      <c r="N19" s="24">
        <f t="shared" ca="1" si="3"/>
        <v>5.9065390056310312</v>
      </c>
      <c r="O19" s="29">
        <v>1574</v>
      </c>
      <c r="P19" s="24">
        <f t="shared" ca="1" si="4"/>
        <v>6.2530383747852696</v>
      </c>
      <c r="Q19" s="24">
        <f t="shared" si="14"/>
        <v>87.220000000000027</v>
      </c>
      <c r="R19" s="145">
        <f t="shared" si="15"/>
        <v>5.8663689315164333</v>
      </c>
      <c r="S19" s="24">
        <f t="shared" ca="1" si="5"/>
        <v>1191.0489833850731</v>
      </c>
      <c r="T19" s="24">
        <f t="shared" ca="1" si="6"/>
        <v>5.9065390056310312</v>
      </c>
      <c r="U19" s="24">
        <f ca="1">O19/г*г1</f>
        <v>1211.1634992637394</v>
      </c>
      <c r="V19" s="24">
        <f t="shared" ca="1" si="7"/>
        <v>6.0062890362964918</v>
      </c>
      <c r="W19" s="24">
        <f t="shared" si="16"/>
        <v>20.114515878666225</v>
      </c>
      <c r="X19" s="24">
        <f t="shared" si="17"/>
        <v>1.6888067711118715</v>
      </c>
      <c r="Y19" s="150">
        <f t="shared" ca="1" si="8"/>
        <v>167.89348936584219</v>
      </c>
      <c r="Z19" s="24">
        <f t="shared" ca="1" si="9"/>
        <v>5.9065390056310312</v>
      </c>
      <c r="AA19" s="24">
        <f ca="1">O19/г*г2</f>
        <v>213.85506043266423</v>
      </c>
      <c r="AB19" s="24">
        <f t="shared" ca="1" si="10"/>
        <v>7.5234796820781211</v>
      </c>
      <c r="AC19" s="24">
        <f t="shared" si="18"/>
        <v>45.961571066822046</v>
      </c>
      <c r="AD19" s="24">
        <f t="shared" si="19"/>
        <v>27.37543381844376</v>
      </c>
      <c r="AE19" s="150">
        <f t="shared" ca="1" si="11"/>
        <v>127.8375272490846</v>
      </c>
      <c r="AF19" s="24">
        <f t="shared" ca="1" si="12"/>
        <v>5.9065390056310312</v>
      </c>
      <c r="AG19" s="150">
        <f ca="1">O19/г*г3</f>
        <v>148.98144030359629</v>
      </c>
      <c r="AH19" s="24">
        <f t="shared" ca="1" si="23"/>
        <v>6.8834614311157489</v>
      </c>
      <c r="AI19" s="24">
        <f t="shared" si="20"/>
        <v>21.143913054511685</v>
      </c>
      <c r="AJ19" s="24">
        <f t="shared" si="21"/>
        <v>16.539676188599845</v>
      </c>
    </row>
    <row r="20" spans="1:36" ht="10.5" customHeight="1">
      <c r="A20" s="8" t="s">
        <v>48</v>
      </c>
      <c r="B20" s="16" t="s">
        <v>20</v>
      </c>
      <c r="C20" s="176">
        <f>133.36/12*2</f>
        <v>22.22666666666667</v>
      </c>
      <c r="D20" s="176">
        <f>101.54/12*2</f>
        <v>16.923333333333336</v>
      </c>
      <c r="E20" s="176">
        <f>133.36/12</f>
        <v>11.113333333333335</v>
      </c>
      <c r="F20" s="176">
        <f>101.54/12</f>
        <v>8.4616666666666678</v>
      </c>
      <c r="G20" s="176">
        <f>133.36/12*9</f>
        <v>100.02000000000001</v>
      </c>
      <c r="H20" s="176">
        <f>101.54/12*9</f>
        <v>76.155000000000015</v>
      </c>
      <c r="I20" s="176">
        <f>946.06/12*3</f>
        <v>236.51499999999999</v>
      </c>
      <c r="J20" s="176">
        <f>946.06/12*9</f>
        <v>709.54499999999996</v>
      </c>
      <c r="K20" s="162">
        <f t="shared" si="1"/>
        <v>1180.96</v>
      </c>
      <c r="L20" s="162">
        <f t="shared" ca="1" si="2"/>
        <v>4.691606225594926</v>
      </c>
      <c r="M20" s="57">
        <f>946.06+133.36+101.54</f>
        <v>1180.96</v>
      </c>
      <c r="N20" s="24">
        <f t="shared" ca="1" si="3"/>
        <v>4.6916062255949251</v>
      </c>
      <c r="O20" s="29">
        <v>142</v>
      </c>
      <c r="P20" s="24">
        <f t="shared" ca="1" si="4"/>
        <v>0.56412417358291511</v>
      </c>
      <c r="Q20" s="24">
        <f t="shared" si="14"/>
        <v>-1038.96</v>
      </c>
      <c r="R20" s="145">
        <f t="shared" si="15"/>
        <v>-87.975884026554667</v>
      </c>
      <c r="S20" s="24">
        <f t="shared" ca="1" si="5"/>
        <v>946.05873593836077</v>
      </c>
      <c r="T20" s="24">
        <f t="shared" ca="1" si="6"/>
        <v>4.6916062255949251</v>
      </c>
      <c r="U20" s="24">
        <f ca="1">O20/г*г1</f>
        <v>109.26633856127762</v>
      </c>
      <c r="V20" s="24">
        <f t="shared" ca="1" si="7"/>
        <v>0.54186343275355897</v>
      </c>
      <c r="W20" s="24">
        <f t="shared" si="16"/>
        <v>-836.79239737708315</v>
      </c>
      <c r="X20" s="24">
        <f t="shared" si="17"/>
        <v>-88.450364188762507</v>
      </c>
      <c r="Y20" s="150">
        <f t="shared" ca="1" si="8"/>
        <v>133.35900079466026</v>
      </c>
      <c r="Z20" s="24">
        <f t="shared" ca="1" si="9"/>
        <v>4.6916062255949251</v>
      </c>
      <c r="AA20" s="24">
        <f ca="1">O20/г*г2</f>
        <v>19.293150305869325</v>
      </c>
      <c r="AB20" s="24">
        <f t="shared" ca="1" si="10"/>
        <v>0.67873831947591678</v>
      </c>
      <c r="AC20" s="24">
        <f t="shared" si="18"/>
        <v>-114.06585048879094</v>
      </c>
      <c r="AD20" s="24">
        <f t="shared" si="19"/>
        <v>-85.532922269284256</v>
      </c>
      <c r="AE20" s="150">
        <f t="shared" ca="1" si="11"/>
        <v>101.54226326697895</v>
      </c>
      <c r="AF20" s="24">
        <f t="shared" ca="1" si="12"/>
        <v>4.6916062255949251</v>
      </c>
      <c r="AG20" s="150">
        <f ca="1">O20/г*г3</f>
        <v>13.440511132853032</v>
      </c>
      <c r="AH20" s="24">
        <f t="shared" ca="1" si="23"/>
        <v>0.62099842644119208</v>
      </c>
      <c r="AI20" s="24">
        <f t="shared" si="20"/>
        <v>-88.101752134125917</v>
      </c>
      <c r="AJ20" s="24">
        <f t="shared" si="21"/>
        <v>-86.763628561720452</v>
      </c>
    </row>
    <row r="21" spans="1:36" s="172" customFormat="1" ht="10.5" customHeight="1">
      <c r="A21" s="7" t="s">
        <v>49</v>
      </c>
      <c r="B21" s="15" t="s">
        <v>21</v>
      </c>
      <c r="C21" s="169">
        <f t="shared" ref="C21:J21" si="24">C22+C23+C24</f>
        <v>30.47</v>
      </c>
      <c r="D21" s="169">
        <f t="shared" si="24"/>
        <v>13.300416666666667</v>
      </c>
      <c r="E21" s="169">
        <f t="shared" si="24"/>
        <v>15.234999999999999</v>
      </c>
      <c r="F21" s="169">
        <f t="shared" si="24"/>
        <v>11.600833333333334</v>
      </c>
      <c r="G21" s="169">
        <f t="shared" si="24"/>
        <v>137.11500000000001</v>
      </c>
      <c r="H21" s="169">
        <f t="shared" si="24"/>
        <v>104.4075</v>
      </c>
      <c r="I21" s="169">
        <f t="shared" si="24"/>
        <v>324.255</v>
      </c>
      <c r="J21" s="169">
        <f t="shared" si="24"/>
        <v>972.7650000000001</v>
      </c>
      <c r="K21" s="162">
        <f t="shared" si="1"/>
        <v>1609.1487500000001</v>
      </c>
      <c r="L21" s="162">
        <f t="shared" ca="1" si="2"/>
        <v>6.3926740053924718</v>
      </c>
      <c r="M21" s="164">
        <f>M22+M23+M24</f>
        <v>1619.0500000000002</v>
      </c>
      <c r="N21" s="165">
        <f t="shared" ca="1" si="3"/>
        <v>6.4320087552071747</v>
      </c>
      <c r="O21" s="166">
        <f>O22+O23+O24</f>
        <v>2377.4</v>
      </c>
      <c r="P21" s="165">
        <f t="shared" ca="1" si="4"/>
        <v>9.4447099315212846</v>
      </c>
      <c r="Q21" s="167">
        <f t="shared" si="14"/>
        <v>758.34999999999991</v>
      </c>
      <c r="R21" s="168">
        <f t="shared" si="15"/>
        <v>46.839195824712007</v>
      </c>
      <c r="S21" s="165">
        <f t="shared" ca="1" si="5"/>
        <v>1297.0095485206978</v>
      </c>
      <c r="T21" s="165">
        <f t="shared" ca="1" si="6"/>
        <v>6.4320087552071747</v>
      </c>
      <c r="U21" s="169">
        <f ca="1">U22+U23+U24</f>
        <v>1829.364741518179</v>
      </c>
      <c r="V21" s="165">
        <f t="shared" ca="1" si="7"/>
        <v>9.0720149649881066</v>
      </c>
      <c r="W21" s="165">
        <f t="shared" si="16"/>
        <v>532.35519299748125</v>
      </c>
      <c r="X21" s="165">
        <f t="shared" si="17"/>
        <v>41.04481679449917</v>
      </c>
      <c r="Y21" s="170">
        <f t="shared" ca="1" si="8"/>
        <v>182.82997750693906</v>
      </c>
      <c r="Z21" s="165">
        <f t="shared" ca="1" si="9"/>
        <v>6.4320087552071756</v>
      </c>
      <c r="AA21" s="171">
        <f ca="1">AA22+AA23+AA24</f>
        <v>323.01081364206857</v>
      </c>
      <c r="AB21" s="165">
        <f t="shared" ca="1" si="10"/>
        <v>11.36360901916933</v>
      </c>
      <c r="AC21" s="165">
        <f t="shared" si="18"/>
        <v>140.18083613512951</v>
      </c>
      <c r="AD21" s="165">
        <f t="shared" si="19"/>
        <v>76.67278530940537</v>
      </c>
      <c r="AE21" s="170">
        <f t="shared" ca="1" si="11"/>
        <v>139.21047397236342</v>
      </c>
      <c r="AF21" s="165">
        <f t="shared" ca="1" si="12"/>
        <v>6.4320087552071747</v>
      </c>
      <c r="AG21" s="169">
        <f ca="1">AG22+AG23+AG24</f>
        <v>225.02444483975211</v>
      </c>
      <c r="AH21" s="165">
        <f t="shared" ca="1" si="23"/>
        <v>10.396913091699226</v>
      </c>
      <c r="AI21" s="165">
        <f t="shared" si="20"/>
        <v>85.81397086738869</v>
      </c>
      <c r="AJ21" s="165">
        <f t="shared" si="21"/>
        <v>61.643329283129091</v>
      </c>
    </row>
    <row r="22" spans="1:36" ht="10.5" customHeight="1">
      <c r="A22" s="8" t="s">
        <v>50</v>
      </c>
      <c r="B22" s="16" t="s">
        <v>22</v>
      </c>
      <c r="C22" s="176">
        <f>104.02/12*2</f>
        <v>17.336666666666666</v>
      </c>
      <c r="D22" s="176">
        <f>79.21/12/2</f>
        <v>3.3004166666666666</v>
      </c>
      <c r="E22" s="176">
        <f>104.02/12</f>
        <v>8.668333333333333</v>
      </c>
      <c r="F22" s="176">
        <f>79.21/12</f>
        <v>6.6008333333333331</v>
      </c>
      <c r="G22" s="176">
        <f>104.02/12*9</f>
        <v>78.015000000000001</v>
      </c>
      <c r="H22" s="176">
        <f>79.21/12*9</f>
        <v>59.407499999999999</v>
      </c>
      <c r="I22" s="176">
        <f>737.99/12*3</f>
        <v>184.4975</v>
      </c>
      <c r="J22" s="176">
        <f>737.99/12*9</f>
        <v>553.49250000000006</v>
      </c>
      <c r="K22" s="162">
        <f t="shared" si="1"/>
        <v>911.31875000000014</v>
      </c>
      <c r="L22" s="162">
        <f t="shared" ca="1" si="2"/>
        <v>3.6204009627772207</v>
      </c>
      <c r="M22" s="54">
        <f>737.99+104.02+79.21</f>
        <v>921.22</v>
      </c>
      <c r="N22" s="24">
        <f t="shared" ca="1" si="3"/>
        <v>3.6597357125919228</v>
      </c>
      <c r="O22" s="12">
        <v>1328</v>
      </c>
      <c r="P22" s="24">
        <f t="shared" ca="1" si="4"/>
        <v>5.2757528346345861</v>
      </c>
      <c r="Q22" s="12">
        <f t="shared" si="14"/>
        <v>406.78</v>
      </c>
      <c r="R22" s="145">
        <f t="shared" si="15"/>
        <v>44.15666181802392</v>
      </c>
      <c r="S22" s="24">
        <f t="shared" ca="1" si="5"/>
        <v>737.98285185030545</v>
      </c>
      <c r="T22" s="24">
        <f t="shared" ca="1" si="6"/>
        <v>3.6597357125919228</v>
      </c>
      <c r="U22" s="24">
        <f ca="1">O22/г*г1</f>
        <v>1021.871109925188</v>
      </c>
      <c r="V22" s="24">
        <f t="shared" ca="1" si="7"/>
        <v>5.0675678781459599</v>
      </c>
      <c r="W22" s="24">
        <f t="shared" si="16"/>
        <v>283.88825807488251</v>
      </c>
      <c r="X22" s="24">
        <f t="shared" si="17"/>
        <v>38.468137486271459</v>
      </c>
      <c r="Y22" s="150">
        <f t="shared" ca="1" si="8"/>
        <v>104.02806082513966</v>
      </c>
      <c r="Z22" s="24">
        <f t="shared" ca="1" si="9"/>
        <v>3.6597357125919228</v>
      </c>
      <c r="AA22" s="24">
        <f ca="1">O22/г*г2</f>
        <v>180.43171553658075</v>
      </c>
      <c r="AB22" s="24">
        <f t="shared" ca="1" si="10"/>
        <v>6.3476372412958986</v>
      </c>
      <c r="AC22" s="24">
        <f t="shared" si="18"/>
        <v>76.403654711441092</v>
      </c>
      <c r="AD22" s="24">
        <f t="shared" si="19"/>
        <v>73.445235934819237</v>
      </c>
      <c r="AE22" s="150">
        <f t="shared" ca="1" si="11"/>
        <v>79.209087324554901</v>
      </c>
      <c r="AF22" s="24">
        <f t="shared" ca="1" si="12"/>
        <v>3.6597357125919232</v>
      </c>
      <c r="AG22" s="150">
        <f ca="1">O22/г*г3</f>
        <v>125.69717453823118</v>
      </c>
      <c r="AH22" s="24">
        <f t="shared" ca="1" si="23"/>
        <v>5.8076472557317125</v>
      </c>
      <c r="AI22" s="24">
        <f t="shared" si="20"/>
        <v>46.48808721367628</v>
      </c>
      <c r="AJ22" s="24">
        <f t="shared" si="21"/>
        <v>58.69034574681298</v>
      </c>
    </row>
    <row r="23" spans="1:36" ht="10.5" customHeight="1">
      <c r="A23" s="8" t="s">
        <v>51</v>
      </c>
      <c r="B23" s="16" t="s">
        <v>18</v>
      </c>
      <c r="C23" s="176">
        <f>38.55/12*2</f>
        <v>6.4249999999999998</v>
      </c>
      <c r="D23" s="176">
        <f>29.35/12*2</f>
        <v>4.8916666666666666</v>
      </c>
      <c r="E23" s="176">
        <f>38.55/12</f>
        <v>3.2124999999999999</v>
      </c>
      <c r="F23" s="176">
        <f>29.35/12</f>
        <v>2.4458333333333333</v>
      </c>
      <c r="G23" s="176">
        <f>38.55/12*9</f>
        <v>28.912499999999998</v>
      </c>
      <c r="H23" s="176">
        <f>29.35/12*9</f>
        <v>22.012499999999999</v>
      </c>
      <c r="I23" s="176">
        <f>273.49/12*3</f>
        <v>68.372500000000002</v>
      </c>
      <c r="J23" s="176">
        <f>273.49/12*9</f>
        <v>205.11750000000001</v>
      </c>
      <c r="K23" s="162">
        <f t="shared" si="1"/>
        <v>341.39</v>
      </c>
      <c r="L23" s="162">
        <f t="shared" ca="1" si="2"/>
        <v>1.3562419128131789</v>
      </c>
      <c r="M23" s="54">
        <f>273.49+38.55+29.35</f>
        <v>341.39000000000004</v>
      </c>
      <c r="N23" s="24">
        <f t="shared" ca="1" si="3"/>
        <v>1.3562419128131789</v>
      </c>
      <c r="O23" s="12">
        <v>475</v>
      </c>
      <c r="P23" s="24">
        <f t="shared" ca="1" si="4"/>
        <v>1.8870350876893287</v>
      </c>
      <c r="Q23" s="12">
        <f t="shared" si="14"/>
        <v>133.60999999999996</v>
      </c>
      <c r="R23" s="145">
        <f t="shared" si="15"/>
        <v>39.137057324467598</v>
      </c>
      <c r="S23" s="24">
        <f t="shared" ca="1" si="5"/>
        <v>273.48512385008553</v>
      </c>
      <c r="T23" s="24">
        <f t="shared" ca="1" si="6"/>
        <v>1.3562419128131789</v>
      </c>
      <c r="U23" s="24">
        <f ca="1">O23/г*г1</f>
        <v>365.5035973000484</v>
      </c>
      <c r="V23" s="24">
        <f t="shared" ca="1" si="7"/>
        <v>1.8125713419573275</v>
      </c>
      <c r="W23" s="24">
        <f t="shared" si="16"/>
        <v>92.018473449962869</v>
      </c>
      <c r="X23" s="24">
        <f t="shared" si="17"/>
        <v>33.646610153612599</v>
      </c>
      <c r="Y23" s="150">
        <f t="shared" ca="1" si="8"/>
        <v>38.551203496552866</v>
      </c>
      <c r="Z23" s="24">
        <f t="shared" ca="1" si="9"/>
        <v>1.3562419128131789</v>
      </c>
      <c r="AA23" s="24">
        <f ca="1">O23/г*г2</f>
        <v>64.536946445689651</v>
      </c>
      <c r="AB23" s="24">
        <f t="shared" ca="1" si="10"/>
        <v>2.2704274771201445</v>
      </c>
      <c r="AC23" s="24">
        <f t="shared" si="18"/>
        <v>25.985742949136785</v>
      </c>
      <c r="AD23" s="24">
        <f t="shared" si="19"/>
        <v>67.405789164170599</v>
      </c>
      <c r="AE23" s="150">
        <f t="shared" ca="1" si="11"/>
        <v>29.353672653361627</v>
      </c>
      <c r="AF23" s="24">
        <f t="shared" ca="1" si="12"/>
        <v>1.3562419128131789</v>
      </c>
      <c r="AG23" s="150">
        <f ca="1">O23/г*г3</f>
        <v>44.959456254261902</v>
      </c>
      <c r="AH23" s="24">
        <f t="shared" ca="1" si="23"/>
        <v>2.0772834687293398</v>
      </c>
      <c r="AI23" s="24">
        <f t="shared" si="20"/>
        <v>15.605783600900274</v>
      </c>
      <c r="AJ23" s="24">
        <f t="shared" si="21"/>
        <v>53.164671369029101</v>
      </c>
    </row>
    <row r="24" spans="1:36" ht="10.5" customHeight="1">
      <c r="A24" s="8" t="s">
        <v>52</v>
      </c>
      <c r="B24" s="16" t="s">
        <v>23</v>
      </c>
      <c r="C24" s="176">
        <f>40.25/12*2</f>
        <v>6.708333333333333</v>
      </c>
      <c r="D24" s="176">
        <f>30.65/12*2</f>
        <v>5.1083333333333334</v>
      </c>
      <c r="E24" s="176">
        <f>40.25/12</f>
        <v>3.3541666666666665</v>
      </c>
      <c r="F24" s="176">
        <f>30.65/12</f>
        <v>2.5541666666666667</v>
      </c>
      <c r="G24" s="176">
        <f>40.25/12*9</f>
        <v>30.1875</v>
      </c>
      <c r="H24" s="176">
        <f>30.65/12*9</f>
        <v>22.987500000000001</v>
      </c>
      <c r="I24" s="176">
        <f>285.54/12*3</f>
        <v>71.385000000000005</v>
      </c>
      <c r="J24" s="176">
        <f>285.54/12*9</f>
        <v>214.15500000000003</v>
      </c>
      <c r="K24" s="162">
        <f t="shared" si="1"/>
        <v>356.44000000000005</v>
      </c>
      <c r="L24" s="162">
        <f t="shared" ca="1" si="2"/>
        <v>1.4160311298020725</v>
      </c>
      <c r="M24" s="54">
        <f>285.54+40.25+30.65</f>
        <v>356.44</v>
      </c>
      <c r="N24" s="24">
        <f t="shared" ca="1" si="3"/>
        <v>1.4160311298020722</v>
      </c>
      <c r="O24" s="29">
        <f>39+173.5+361.9</f>
        <v>574.4</v>
      </c>
      <c r="P24" s="24">
        <f t="shared" ca="1" si="4"/>
        <v>2.2819220091973689</v>
      </c>
      <c r="Q24" s="12">
        <f t="shared" si="14"/>
        <v>217.95999999999998</v>
      </c>
      <c r="R24" s="145">
        <f t="shared" si="15"/>
        <v>61.14914151049264</v>
      </c>
      <c r="S24" s="24">
        <f t="shared" ca="1" si="5"/>
        <v>285.54157282030667</v>
      </c>
      <c r="T24" s="24">
        <f t="shared" ca="1" si="6"/>
        <v>1.4160311298020725</v>
      </c>
      <c r="U24" s="24">
        <f ca="1">O24/г*г1</f>
        <v>441.99003429294277</v>
      </c>
      <c r="V24" s="24">
        <f t="shared" ca="1" si="7"/>
        <v>2.1918757448848192</v>
      </c>
      <c r="W24" s="24">
        <f t="shared" si="16"/>
        <v>156.4484614726361</v>
      </c>
      <c r="X24" s="24">
        <f t="shared" si="17"/>
        <v>54.790081853016268</v>
      </c>
      <c r="Y24" s="150">
        <f t="shared" ca="1" si="8"/>
        <v>40.250713185246497</v>
      </c>
      <c r="Z24" s="24">
        <f t="shared" ca="1" si="9"/>
        <v>1.4160311298020722</v>
      </c>
      <c r="AA24" s="24">
        <f ca="1">O24/г*г2</f>
        <v>78.042151659798179</v>
      </c>
      <c r="AB24" s="24">
        <f t="shared" ca="1" si="10"/>
        <v>2.7455443007532865</v>
      </c>
      <c r="AC24" s="24">
        <f t="shared" si="18"/>
        <v>37.791438474551683</v>
      </c>
      <c r="AD24" s="24">
        <f t="shared" si="19"/>
        <v>93.890108979246023</v>
      </c>
      <c r="AE24" s="150">
        <f t="shared" ca="1" si="11"/>
        <v>30.647713994446871</v>
      </c>
      <c r="AF24" s="24">
        <f t="shared" ca="1" si="12"/>
        <v>1.4160311298020722</v>
      </c>
      <c r="AG24" s="150">
        <f ca="1">O24/г*г3</f>
        <v>54.367814047259031</v>
      </c>
      <c r="AH24" s="24">
        <f t="shared" ca="1" si="23"/>
        <v>2.5119823672381743</v>
      </c>
      <c r="AI24" s="24">
        <f t="shared" si="20"/>
        <v>23.72010005281216</v>
      </c>
      <c r="AJ24" s="24">
        <f t="shared" si="21"/>
        <v>77.395984761245344</v>
      </c>
    </row>
    <row r="25" spans="1:36" s="172" customFormat="1" ht="10.5" customHeight="1">
      <c r="A25" s="7" t="s">
        <v>53</v>
      </c>
      <c r="B25" s="14" t="s">
        <v>24</v>
      </c>
      <c r="C25" s="169">
        <f t="shared" ref="C25:J25" si="25">C26+C27+C28</f>
        <v>39.286666666666662</v>
      </c>
      <c r="D25" s="169">
        <f t="shared" si="25"/>
        <v>29.914999999999999</v>
      </c>
      <c r="E25" s="169">
        <f t="shared" si="25"/>
        <v>19.643333333333331</v>
      </c>
      <c r="F25" s="169">
        <f t="shared" si="25"/>
        <v>14.9575</v>
      </c>
      <c r="G25" s="169">
        <f t="shared" si="25"/>
        <v>176.79</v>
      </c>
      <c r="H25" s="169">
        <f t="shared" si="25"/>
        <v>134.61750000000001</v>
      </c>
      <c r="I25" s="169">
        <f t="shared" si="25"/>
        <v>418.06250000000006</v>
      </c>
      <c r="J25" s="169">
        <f t="shared" si="25"/>
        <v>1254.1875</v>
      </c>
      <c r="K25" s="162">
        <f t="shared" si="1"/>
        <v>2087.46</v>
      </c>
      <c r="L25" s="162">
        <f t="shared" ca="1" si="2"/>
        <v>8.2928637139957182</v>
      </c>
      <c r="M25" s="164">
        <f>M26+M27+M28</f>
        <v>2087.46</v>
      </c>
      <c r="N25" s="165">
        <f t="shared" ca="1" si="3"/>
        <v>8.2928637139957182</v>
      </c>
      <c r="O25" s="167">
        <f>O26+O27+O28</f>
        <v>2284</v>
      </c>
      <c r="P25" s="165">
        <f t="shared" ca="1" si="4"/>
        <v>9.0736592426998453</v>
      </c>
      <c r="Q25" s="167">
        <f t="shared" si="14"/>
        <v>196.53999999999996</v>
      </c>
      <c r="R25" s="168">
        <f t="shared" si="15"/>
        <v>9.4152702327230209</v>
      </c>
      <c r="S25" s="165">
        <f t="shared" ca="1" si="5"/>
        <v>1672.2494994935398</v>
      </c>
      <c r="T25" s="165">
        <f t="shared" ca="1" si="6"/>
        <v>8.2928637139957182</v>
      </c>
      <c r="U25" s="169">
        <f ca="1">U26+U27+U28</f>
        <v>1757.4951920701276</v>
      </c>
      <c r="V25" s="165">
        <f t="shared" ca="1" si="7"/>
        <v>8.715606200064288</v>
      </c>
      <c r="W25" s="165">
        <f t="shared" si="16"/>
        <v>85.245692576587771</v>
      </c>
      <c r="X25" s="165">
        <f t="shared" si="17"/>
        <v>5.097665904663474</v>
      </c>
      <c r="Y25" s="170">
        <f t="shared" ca="1" si="8"/>
        <v>235.72481692760257</v>
      </c>
      <c r="Z25" s="165">
        <f t="shared" ca="1" si="9"/>
        <v>8.2928637139957182</v>
      </c>
      <c r="AA25" s="171">
        <v>310.3956</v>
      </c>
      <c r="AB25" s="165">
        <f t="shared" ca="1" si="10"/>
        <v>10.919802343146989</v>
      </c>
      <c r="AC25" s="165">
        <f t="shared" si="18"/>
        <v>74.670783072397427</v>
      </c>
      <c r="AD25" s="165">
        <f t="shared" si="19"/>
        <v>31.677098765265278</v>
      </c>
      <c r="AE25" s="170">
        <f t="shared" ca="1" si="11"/>
        <v>179.48568357885779</v>
      </c>
      <c r="AF25" s="165">
        <f t="shared" ca="1" si="12"/>
        <v>8.2928637139957182</v>
      </c>
      <c r="AG25" s="169">
        <f ca="1">AG26+AG27+AG28</f>
        <v>216.18399596786148</v>
      </c>
      <c r="AH25" s="165">
        <f t="shared" ca="1" si="23"/>
        <v>9.9884535633217109</v>
      </c>
      <c r="AI25" s="165">
        <f t="shared" si="20"/>
        <v>36.698312389003689</v>
      </c>
      <c r="AJ25" s="165">
        <f t="shared" si="21"/>
        <v>20.44637302388529</v>
      </c>
    </row>
    <row r="26" spans="1:36" ht="10.5" customHeight="1">
      <c r="A26" s="8" t="s">
        <v>54</v>
      </c>
      <c r="B26" s="18" t="s">
        <v>22</v>
      </c>
      <c r="C26" s="178">
        <f>153.23/12*2</f>
        <v>25.53833333333333</v>
      </c>
      <c r="D26" s="178">
        <f>116.67/12*2</f>
        <v>19.445</v>
      </c>
      <c r="E26" s="178">
        <f>153.23/12</f>
        <v>12.769166666666665</v>
      </c>
      <c r="F26" s="178">
        <f>116.67/12</f>
        <v>9.7225000000000001</v>
      </c>
      <c r="G26" s="178">
        <f>153.23/12*9</f>
        <v>114.92249999999999</v>
      </c>
      <c r="H26" s="178">
        <f>116.67/12*9</f>
        <v>87.502499999999998</v>
      </c>
      <c r="I26" s="178">
        <f>1087/12*3</f>
        <v>271.75</v>
      </c>
      <c r="J26" s="178">
        <f>1087/12*9</f>
        <v>815.25</v>
      </c>
      <c r="K26" s="162">
        <f t="shared" si="1"/>
        <v>1356.9</v>
      </c>
      <c r="L26" s="162">
        <f t="shared" ca="1" si="2"/>
        <v>5.3905640220750533</v>
      </c>
      <c r="M26" s="54">
        <f>1087+153.23+116.67</f>
        <v>1356.9</v>
      </c>
      <c r="N26" s="24">
        <f t="shared" ca="1" si="3"/>
        <v>5.3905640220750533</v>
      </c>
      <c r="O26" s="12">
        <v>1452</v>
      </c>
      <c r="P26" s="24">
        <f t="shared" ca="1" si="4"/>
        <v>5.7683683101576948</v>
      </c>
      <c r="Q26" s="12">
        <f t="shared" si="14"/>
        <v>95.099999999999909</v>
      </c>
      <c r="R26" s="145">
        <f t="shared" si="15"/>
        <v>7.0086225956223673</v>
      </c>
      <c r="S26" s="24">
        <f t="shared" ca="1" si="5"/>
        <v>1087.0030304114973</v>
      </c>
      <c r="T26" s="24">
        <f t="shared" ca="1" si="6"/>
        <v>5.3905640220750533</v>
      </c>
      <c r="U26" s="24">
        <f ca="1">O26/г*г1</f>
        <v>1117.2867858519376</v>
      </c>
      <c r="V26" s="24">
        <f t="shared" ca="1" si="7"/>
        <v>5.5407443968885053</v>
      </c>
      <c r="W26" s="24">
        <f t="shared" si="16"/>
        <v>30.283755440440245</v>
      </c>
      <c r="X26" s="24">
        <f t="shared" si="17"/>
        <v>2.7859862937986462</v>
      </c>
      <c r="Y26" s="150">
        <f t="shared" ca="1" si="8"/>
        <v>153.22689013876382</v>
      </c>
      <c r="Z26" s="24">
        <f t="shared" ca="1" si="9"/>
        <v>5.3905640220750533</v>
      </c>
      <c r="AA26" s="24">
        <f ca="1">O26/г*г2</f>
        <v>197.27925524029763</v>
      </c>
      <c r="AB26" s="24">
        <f t="shared" ca="1" si="10"/>
        <v>6.940338309007263</v>
      </c>
      <c r="AC26" s="24">
        <f t="shared" si="18"/>
        <v>44.052365101533809</v>
      </c>
      <c r="AD26" s="24">
        <f t="shared" si="19"/>
        <v>28.74976126033723</v>
      </c>
      <c r="AE26" s="150">
        <f t="shared" ca="1" si="11"/>
        <v>116.67007944973899</v>
      </c>
      <c r="AF26" s="24">
        <f t="shared" ca="1" si="12"/>
        <v>5.3905640220750533</v>
      </c>
      <c r="AG26" s="150">
        <f ca="1">O26/г*г3</f>
        <v>137.43395890776483</v>
      </c>
      <c r="AH26" s="24">
        <f t="shared" ca="1" si="23"/>
        <v>6.3499275717789514</v>
      </c>
      <c r="AI26" s="24">
        <f t="shared" si="20"/>
        <v>20.763879458025841</v>
      </c>
      <c r="AJ26" s="24">
        <f t="shared" si="21"/>
        <v>17.79709035594755</v>
      </c>
    </row>
    <row r="27" spans="1:36" ht="10.5" customHeight="1">
      <c r="A27" s="8" t="s">
        <v>55</v>
      </c>
      <c r="B27" s="18" t="s">
        <v>18</v>
      </c>
      <c r="C27" s="178">
        <f>56.78/12*2</f>
        <v>9.4633333333333329</v>
      </c>
      <c r="D27" s="178">
        <f>43.24/12*2</f>
        <v>7.206666666666667</v>
      </c>
      <c r="E27" s="178">
        <f>56.78/12</f>
        <v>4.7316666666666665</v>
      </c>
      <c r="F27" s="178">
        <f>43.24/12</f>
        <v>3.6033333333333335</v>
      </c>
      <c r="G27" s="178">
        <f>56.78/12*9</f>
        <v>42.585000000000001</v>
      </c>
      <c r="H27" s="178">
        <f>43.24/12*9</f>
        <v>32.43</v>
      </c>
      <c r="I27" s="178">
        <f>402.84/12*3</f>
        <v>100.71000000000001</v>
      </c>
      <c r="J27" s="178">
        <f>402.84/12*9</f>
        <v>302.13</v>
      </c>
      <c r="K27" s="162">
        <f t="shared" si="1"/>
        <v>502.86</v>
      </c>
      <c r="L27" s="162">
        <f t="shared" ca="1" si="2"/>
        <v>1.9977146614641177</v>
      </c>
      <c r="M27" s="54">
        <f>402.84+56.78+43.24</f>
        <v>502.86</v>
      </c>
      <c r="N27" s="24">
        <f t="shared" ca="1" si="3"/>
        <v>1.9977146614641175</v>
      </c>
      <c r="O27" s="12">
        <v>532</v>
      </c>
      <c r="P27" s="24">
        <f t="shared" ca="1" si="4"/>
        <v>2.1134792982120478</v>
      </c>
      <c r="Q27" s="12">
        <f t="shared" si="14"/>
        <v>29.139999999999986</v>
      </c>
      <c r="R27" s="145">
        <f t="shared" si="15"/>
        <v>5.7948534383327335</v>
      </c>
      <c r="S27" s="24">
        <f t="shared" ca="1" si="5"/>
        <v>402.8376032668034</v>
      </c>
      <c r="T27" s="24">
        <f t="shared" ca="1" si="6"/>
        <v>1.9977146614641177</v>
      </c>
      <c r="U27" s="24">
        <f ca="1">O27/г*г1</f>
        <v>409.36402897605427</v>
      </c>
      <c r="V27" s="24">
        <f t="shared" ca="1" si="7"/>
        <v>2.030079902992207</v>
      </c>
      <c r="W27" s="24">
        <f t="shared" si="16"/>
        <v>6.5264257092508728</v>
      </c>
      <c r="X27" s="24">
        <f t="shared" si="17"/>
        <v>1.6201133301173862</v>
      </c>
      <c r="Y27" s="150">
        <f t="shared" ca="1" si="8"/>
        <v>56.785079206410771</v>
      </c>
      <c r="Z27" s="24">
        <f t="shared" ca="1" si="9"/>
        <v>1.9977146614641175</v>
      </c>
      <c r="AA27" s="24">
        <f ca="1">O27/г*г2</f>
        <v>72.281380019172417</v>
      </c>
      <c r="AB27" s="24">
        <f t="shared" ca="1" si="10"/>
        <v>2.5428787743745622</v>
      </c>
      <c r="AC27" s="24">
        <f t="shared" si="18"/>
        <v>15.496300812761646</v>
      </c>
      <c r="AD27" s="24">
        <f t="shared" si="19"/>
        <v>27.289388390977514</v>
      </c>
      <c r="AE27" s="150">
        <f t="shared" ca="1" si="11"/>
        <v>43.237317526785866</v>
      </c>
      <c r="AF27" s="24">
        <f t="shared" ca="1" si="12"/>
        <v>1.9977146614641175</v>
      </c>
      <c r="AG27" s="150">
        <f ca="1">O27/г*г3</f>
        <v>50.35459100477334</v>
      </c>
      <c r="AH27" s="24">
        <f t="shared" ca="1" si="23"/>
        <v>2.3265574849768607</v>
      </c>
      <c r="AI27" s="24">
        <f t="shared" si="20"/>
        <v>7.1172734779874745</v>
      </c>
      <c r="AJ27" s="24">
        <f t="shared" si="21"/>
        <v>16.460950598006612</v>
      </c>
    </row>
    <row r="28" spans="1:36" ht="10.5" customHeight="1">
      <c r="A28" s="8" t="s">
        <v>56</v>
      </c>
      <c r="B28" s="16" t="s">
        <v>23</v>
      </c>
      <c r="C28" s="176">
        <f>25.71/12*2</f>
        <v>4.2850000000000001</v>
      </c>
      <c r="D28" s="176">
        <f>19.58/12*2</f>
        <v>3.2633333333333332</v>
      </c>
      <c r="E28" s="176">
        <f>25.71/12</f>
        <v>2.1425000000000001</v>
      </c>
      <c r="F28" s="176">
        <f>19.58/12</f>
        <v>1.6316666666666666</v>
      </c>
      <c r="G28" s="176">
        <f>25.71/12*9</f>
        <v>19.282499999999999</v>
      </c>
      <c r="H28" s="176">
        <f>19.58/12*9</f>
        <v>14.684999999999999</v>
      </c>
      <c r="I28" s="176">
        <f>182.41/12*3</f>
        <v>45.602499999999999</v>
      </c>
      <c r="J28" s="176">
        <f>182.41/12*9</f>
        <v>136.8075</v>
      </c>
      <c r="K28" s="162">
        <f t="shared" si="1"/>
        <v>227.7</v>
      </c>
      <c r="L28" s="162">
        <f t="shared" ca="1" si="2"/>
        <v>0.9045850304565477</v>
      </c>
      <c r="M28" s="54">
        <f>182.41+25.71+19.58</f>
        <v>227.7</v>
      </c>
      <c r="N28" s="24">
        <f t="shared" ca="1" si="3"/>
        <v>0.90458503045654759</v>
      </c>
      <c r="O28" s="12">
        <v>300</v>
      </c>
      <c r="P28" s="24">
        <f t="shared" ca="1" si="4"/>
        <v>1.1918116343301022</v>
      </c>
      <c r="Q28" s="12">
        <f t="shared" si="14"/>
        <v>72.300000000000011</v>
      </c>
      <c r="R28" s="145">
        <f t="shared" si="15"/>
        <v>31.752305665349152</v>
      </c>
      <c r="S28" s="24">
        <f t="shared" ca="1" si="5"/>
        <v>182.40886581523907</v>
      </c>
      <c r="T28" s="24">
        <f t="shared" ca="1" si="6"/>
        <v>0.90458503045654759</v>
      </c>
      <c r="U28" s="24">
        <f ca="1">O28/г*г1</f>
        <v>230.84437724213583</v>
      </c>
      <c r="V28" s="24">
        <f t="shared" ca="1" si="7"/>
        <v>1.1447819001835753</v>
      </c>
      <c r="W28" s="24">
        <f t="shared" si="16"/>
        <v>48.435511426896767</v>
      </c>
      <c r="X28" s="24">
        <f t="shared" si="17"/>
        <v>26.553266043524896</v>
      </c>
      <c r="Y28" s="150">
        <f t="shared" ca="1" si="8"/>
        <v>25.712847582427976</v>
      </c>
      <c r="Z28" s="24">
        <f t="shared" ca="1" si="9"/>
        <v>0.9045850304565477</v>
      </c>
      <c r="AA28" s="24">
        <f ca="1">O28/г*г2</f>
        <v>40.760176702540832</v>
      </c>
      <c r="AB28" s="24">
        <f t="shared" ca="1" si="10"/>
        <v>1.4339541960758808</v>
      </c>
      <c r="AC28" s="24">
        <f t="shared" si="18"/>
        <v>15.047329120112856</v>
      </c>
      <c r="AD28" s="24">
        <f t="shared" si="19"/>
        <v>58.52066392831621</v>
      </c>
      <c r="AE28" s="150">
        <f t="shared" ca="1" si="11"/>
        <v>19.578286602332938</v>
      </c>
      <c r="AF28" s="24">
        <f t="shared" ca="1" si="12"/>
        <v>0.90458503045654759</v>
      </c>
      <c r="AG28" s="150">
        <f ca="1">O28/г*г3</f>
        <v>28.395446055323312</v>
      </c>
      <c r="AH28" s="24">
        <f t="shared" ca="1" si="23"/>
        <v>1.311968506565899</v>
      </c>
      <c r="AI28" s="24">
        <f t="shared" si="20"/>
        <v>8.8171594529903743</v>
      </c>
      <c r="AJ28" s="24">
        <f t="shared" si="21"/>
        <v>45.035398817482459</v>
      </c>
    </row>
    <row r="29" spans="1:36" s="172" customFormat="1" ht="10.5" customHeight="1">
      <c r="A29" s="7">
        <v>3</v>
      </c>
      <c r="B29" s="14" t="s">
        <v>25</v>
      </c>
      <c r="C29" s="177"/>
      <c r="D29" s="177"/>
      <c r="E29" s="177"/>
      <c r="F29" s="177"/>
      <c r="G29" s="177"/>
      <c r="H29" s="177"/>
      <c r="I29" s="177"/>
      <c r="J29" s="177"/>
      <c r="K29" s="162">
        <f t="shared" si="1"/>
        <v>0</v>
      </c>
      <c r="L29" s="162">
        <f t="shared" ca="1" si="2"/>
        <v>0</v>
      </c>
      <c r="M29" s="167">
        <f>M30+M31+M32</f>
        <v>0</v>
      </c>
      <c r="N29" s="165">
        <f t="shared" ca="1" si="3"/>
        <v>0</v>
      </c>
      <c r="O29" s="165">
        <f>U29+AA29+AG29</f>
        <v>0</v>
      </c>
      <c r="P29" s="165">
        <f t="shared" ca="1" si="4"/>
        <v>0</v>
      </c>
      <c r="Q29" s="165">
        <f t="shared" si="14"/>
        <v>0</v>
      </c>
      <c r="R29" s="168">
        <v>0</v>
      </c>
      <c r="S29" s="165">
        <f t="shared" ca="1" si="5"/>
        <v>0</v>
      </c>
      <c r="T29" s="165">
        <f t="shared" ca="1" si="6"/>
        <v>0</v>
      </c>
      <c r="U29" s="169">
        <v>0</v>
      </c>
      <c r="V29" s="165">
        <f t="shared" ca="1" si="7"/>
        <v>0</v>
      </c>
      <c r="W29" s="165">
        <f t="shared" si="16"/>
        <v>0</v>
      </c>
      <c r="X29" s="165">
        <v>0</v>
      </c>
      <c r="Y29" s="170">
        <f t="shared" ca="1" si="8"/>
        <v>0</v>
      </c>
      <c r="Z29" s="165">
        <f t="shared" ca="1" si="9"/>
        <v>0</v>
      </c>
      <c r="AA29" s="171">
        <v>0</v>
      </c>
      <c r="AB29" s="165">
        <f t="shared" ca="1" si="10"/>
        <v>0</v>
      </c>
      <c r="AC29" s="165">
        <f t="shared" si="18"/>
        <v>0</v>
      </c>
      <c r="AD29" s="165">
        <v>0</v>
      </c>
      <c r="AE29" s="170">
        <f t="shared" ca="1" si="11"/>
        <v>0</v>
      </c>
      <c r="AF29" s="165">
        <f t="shared" ca="1" si="12"/>
        <v>0</v>
      </c>
      <c r="AG29" s="169">
        <v>0</v>
      </c>
      <c r="AH29" s="165">
        <f t="shared" ca="1" si="23"/>
        <v>0</v>
      </c>
      <c r="AI29" s="165">
        <f t="shared" si="20"/>
        <v>0</v>
      </c>
      <c r="AJ29" s="165">
        <v>0</v>
      </c>
    </row>
    <row r="30" spans="1:36" ht="10.5" customHeight="1">
      <c r="A30" s="8" t="s">
        <v>57</v>
      </c>
      <c r="B30" s="18" t="s">
        <v>22</v>
      </c>
      <c r="C30" s="178"/>
      <c r="D30" s="178"/>
      <c r="E30" s="178"/>
      <c r="F30" s="178"/>
      <c r="G30" s="178"/>
      <c r="H30" s="178"/>
      <c r="I30" s="178"/>
      <c r="J30" s="178"/>
      <c r="K30" s="162">
        <f t="shared" si="1"/>
        <v>0</v>
      </c>
      <c r="L30" s="162">
        <f t="shared" ca="1" si="2"/>
        <v>0</v>
      </c>
      <c r="M30" s="12">
        <v>0</v>
      </c>
      <c r="N30" s="24">
        <f t="shared" ca="1" si="3"/>
        <v>0</v>
      </c>
      <c r="O30" s="12">
        <f>U30+AA30+AG30</f>
        <v>0</v>
      </c>
      <c r="P30" s="24">
        <f t="shared" ca="1" si="4"/>
        <v>0</v>
      </c>
      <c r="Q30" s="12">
        <f t="shared" si="14"/>
        <v>0</v>
      </c>
      <c r="R30" s="145">
        <v>0</v>
      </c>
      <c r="S30" s="24">
        <f t="shared" ca="1" si="5"/>
        <v>0</v>
      </c>
      <c r="T30" s="24">
        <f t="shared" ca="1" si="6"/>
        <v>0</v>
      </c>
      <c r="U30" s="53">
        <v>0</v>
      </c>
      <c r="V30" s="24">
        <f t="shared" ca="1" si="7"/>
        <v>0</v>
      </c>
      <c r="W30" s="24">
        <f t="shared" si="16"/>
        <v>0</v>
      </c>
      <c r="X30" s="24">
        <v>0</v>
      </c>
      <c r="Y30" s="150">
        <f t="shared" ca="1" si="8"/>
        <v>0</v>
      </c>
      <c r="Z30" s="24">
        <f t="shared" ca="1" si="9"/>
        <v>0</v>
      </c>
      <c r="AA30" s="153">
        <v>0</v>
      </c>
      <c r="AB30" s="24">
        <f t="shared" ca="1" si="10"/>
        <v>0</v>
      </c>
      <c r="AC30" s="24">
        <f t="shared" si="18"/>
        <v>0</v>
      </c>
      <c r="AD30" s="24">
        <v>0</v>
      </c>
      <c r="AE30" s="150">
        <f t="shared" ca="1" si="11"/>
        <v>0</v>
      </c>
      <c r="AF30" s="24">
        <f t="shared" ca="1" si="12"/>
        <v>0</v>
      </c>
      <c r="AG30" s="53">
        <v>0</v>
      </c>
      <c r="AH30" s="24">
        <f t="shared" ca="1" si="23"/>
        <v>0</v>
      </c>
      <c r="AI30" s="24">
        <f t="shared" si="20"/>
        <v>0</v>
      </c>
      <c r="AJ30" s="24">
        <v>0</v>
      </c>
    </row>
    <row r="31" spans="1:36" ht="10.5" customHeight="1">
      <c r="A31" s="8" t="s">
        <v>58</v>
      </c>
      <c r="B31" s="18" t="s">
        <v>18</v>
      </c>
      <c r="C31" s="178"/>
      <c r="D31" s="178"/>
      <c r="E31" s="178"/>
      <c r="F31" s="178"/>
      <c r="G31" s="178"/>
      <c r="H31" s="178"/>
      <c r="I31" s="178"/>
      <c r="J31" s="178"/>
      <c r="K31" s="162">
        <f t="shared" si="1"/>
        <v>0</v>
      </c>
      <c r="L31" s="162">
        <f t="shared" ca="1" si="2"/>
        <v>0</v>
      </c>
      <c r="M31" s="12">
        <v>0</v>
      </c>
      <c r="N31" s="24">
        <f t="shared" ca="1" si="3"/>
        <v>0</v>
      </c>
      <c r="O31" s="12">
        <f>U31+AA31+AG31</f>
        <v>0</v>
      </c>
      <c r="P31" s="24">
        <f t="shared" ca="1" si="4"/>
        <v>0</v>
      </c>
      <c r="Q31" s="12">
        <f t="shared" si="14"/>
        <v>0</v>
      </c>
      <c r="R31" s="145">
        <v>0</v>
      </c>
      <c r="S31" s="24">
        <f t="shared" ca="1" si="5"/>
        <v>0</v>
      </c>
      <c r="T31" s="24">
        <f t="shared" ca="1" si="6"/>
        <v>0</v>
      </c>
      <c r="U31" s="53">
        <v>0</v>
      </c>
      <c r="V31" s="24">
        <f t="shared" ca="1" si="7"/>
        <v>0</v>
      </c>
      <c r="W31" s="24">
        <f t="shared" si="16"/>
        <v>0</v>
      </c>
      <c r="X31" s="24">
        <v>0</v>
      </c>
      <c r="Y31" s="150">
        <f t="shared" ca="1" si="8"/>
        <v>0</v>
      </c>
      <c r="Z31" s="24">
        <f t="shared" ca="1" si="9"/>
        <v>0</v>
      </c>
      <c r="AA31" s="153">
        <v>0</v>
      </c>
      <c r="AB31" s="24">
        <f t="shared" ca="1" si="10"/>
        <v>0</v>
      </c>
      <c r="AC31" s="24">
        <f t="shared" si="18"/>
        <v>0</v>
      </c>
      <c r="AD31" s="24">
        <v>0</v>
      </c>
      <c r="AE31" s="150">
        <f t="shared" ca="1" si="11"/>
        <v>0</v>
      </c>
      <c r="AF31" s="24">
        <f t="shared" ca="1" si="12"/>
        <v>0</v>
      </c>
      <c r="AG31" s="53">
        <v>0</v>
      </c>
      <c r="AH31" s="24">
        <f t="shared" ca="1" si="23"/>
        <v>0</v>
      </c>
      <c r="AI31" s="24">
        <f t="shared" si="20"/>
        <v>0</v>
      </c>
      <c r="AJ31" s="24">
        <v>0</v>
      </c>
    </row>
    <row r="32" spans="1:36" ht="10.5" customHeight="1">
      <c r="A32" s="8" t="s">
        <v>59</v>
      </c>
      <c r="B32" s="18" t="s">
        <v>23</v>
      </c>
      <c r="C32" s="178"/>
      <c r="D32" s="178"/>
      <c r="E32" s="178"/>
      <c r="F32" s="178"/>
      <c r="G32" s="178"/>
      <c r="H32" s="178"/>
      <c r="I32" s="178"/>
      <c r="J32" s="178"/>
      <c r="K32" s="162">
        <f t="shared" si="1"/>
        <v>0</v>
      </c>
      <c r="L32" s="162">
        <f t="shared" ca="1" si="2"/>
        <v>0</v>
      </c>
      <c r="M32" s="12">
        <v>0</v>
      </c>
      <c r="N32" s="24">
        <f t="shared" ca="1" si="3"/>
        <v>0</v>
      </c>
      <c r="O32" s="12">
        <f>U32+AA32+AG32</f>
        <v>0</v>
      </c>
      <c r="P32" s="24">
        <f t="shared" ca="1" si="4"/>
        <v>0</v>
      </c>
      <c r="Q32" s="12">
        <f t="shared" si="14"/>
        <v>0</v>
      </c>
      <c r="R32" s="145">
        <v>0</v>
      </c>
      <c r="S32" s="24">
        <f t="shared" ca="1" si="5"/>
        <v>0</v>
      </c>
      <c r="T32" s="24">
        <f t="shared" ca="1" si="6"/>
        <v>0</v>
      </c>
      <c r="U32" s="53">
        <v>0</v>
      </c>
      <c r="V32" s="24">
        <f t="shared" ca="1" si="7"/>
        <v>0</v>
      </c>
      <c r="W32" s="24">
        <f t="shared" si="16"/>
        <v>0</v>
      </c>
      <c r="X32" s="24">
        <v>0</v>
      </c>
      <c r="Y32" s="150">
        <f t="shared" ca="1" si="8"/>
        <v>0</v>
      </c>
      <c r="Z32" s="24">
        <f t="shared" ca="1" si="9"/>
        <v>0</v>
      </c>
      <c r="AA32" s="153">
        <v>0</v>
      </c>
      <c r="AB32" s="24">
        <f t="shared" ca="1" si="10"/>
        <v>0</v>
      </c>
      <c r="AC32" s="24">
        <f t="shared" si="18"/>
        <v>0</v>
      </c>
      <c r="AD32" s="24">
        <v>0</v>
      </c>
      <c r="AE32" s="150">
        <f t="shared" ca="1" si="11"/>
        <v>0</v>
      </c>
      <c r="AF32" s="24">
        <f t="shared" ca="1" si="12"/>
        <v>0</v>
      </c>
      <c r="AG32" s="53">
        <v>0</v>
      </c>
      <c r="AH32" s="24">
        <f t="shared" ca="1" si="23"/>
        <v>0</v>
      </c>
      <c r="AI32" s="24">
        <f t="shared" si="20"/>
        <v>0</v>
      </c>
      <c r="AJ32" s="24">
        <v>0</v>
      </c>
    </row>
    <row r="33" spans="1:36" s="172" customFormat="1" ht="10.5" customHeight="1">
      <c r="A33" s="7">
        <v>4</v>
      </c>
      <c r="B33" s="14" t="s">
        <v>26</v>
      </c>
      <c r="C33" s="177"/>
      <c r="D33" s="177"/>
      <c r="E33" s="177"/>
      <c r="F33" s="177"/>
      <c r="G33" s="177"/>
      <c r="H33" s="177"/>
      <c r="I33" s="177"/>
      <c r="J33" s="177"/>
      <c r="K33" s="162">
        <f t="shared" si="1"/>
        <v>0</v>
      </c>
      <c r="L33" s="162">
        <f t="shared" ca="1" si="2"/>
        <v>0</v>
      </c>
      <c r="M33" s="167">
        <v>0</v>
      </c>
      <c r="N33" s="165">
        <f t="shared" ca="1" si="3"/>
        <v>0</v>
      </c>
      <c r="O33" s="166">
        <v>3818.1</v>
      </c>
      <c r="P33" s="165">
        <f t="shared" ca="1" si="4"/>
        <v>15.168186670119212</v>
      </c>
      <c r="Q33" s="166">
        <f t="shared" si="14"/>
        <v>3818.1</v>
      </c>
      <c r="R33" s="168" t="e">
        <f>Q33/M33*100</f>
        <v>#DIV/0!</v>
      </c>
      <c r="S33" s="165">
        <f t="shared" ca="1" si="5"/>
        <v>0</v>
      </c>
      <c r="T33" s="165">
        <f t="shared" ca="1" si="6"/>
        <v>0</v>
      </c>
      <c r="U33" s="162">
        <f ca="1">O33/г*г1</f>
        <v>2937.9563891606631</v>
      </c>
      <c r="V33" s="165">
        <f t="shared" ca="1" si="7"/>
        <v>14.569639243636365</v>
      </c>
      <c r="W33" s="165">
        <f t="shared" si="16"/>
        <v>2937.9563891606631</v>
      </c>
      <c r="X33" s="165" t="e">
        <f>W33/S33*100</f>
        <v>#DIV/0!</v>
      </c>
      <c r="Y33" s="170">
        <f t="shared" ca="1" si="8"/>
        <v>0</v>
      </c>
      <c r="Z33" s="165">
        <f t="shared" ca="1" si="9"/>
        <v>0</v>
      </c>
      <c r="AA33" s="162">
        <f ca="1">O33/г*г2</f>
        <v>518.75476889323716</v>
      </c>
      <c r="AB33" s="165">
        <f t="shared" ca="1" si="10"/>
        <v>18.249935053457733</v>
      </c>
      <c r="AC33" s="165">
        <f t="shared" si="18"/>
        <v>518.75476889323716</v>
      </c>
      <c r="AD33" s="165" t="e">
        <f>AC33/Y33*100</f>
        <v>#DIV/0!</v>
      </c>
      <c r="AE33" s="170">
        <f t="shared" ca="1" si="11"/>
        <v>0</v>
      </c>
      <c r="AF33" s="165">
        <f t="shared" ca="1" si="12"/>
        <v>0</v>
      </c>
      <c r="AG33" s="174">
        <f ca="1">O33/г*г3</f>
        <v>361.38884194609977</v>
      </c>
      <c r="AH33" s="165">
        <f t="shared" ca="1" si="23"/>
        <v>16.697423183064195</v>
      </c>
      <c r="AI33" s="165">
        <f t="shared" si="20"/>
        <v>361.38884194609977</v>
      </c>
      <c r="AJ33" s="165" t="e">
        <f>AI33/AE33*100</f>
        <v>#DIV/0!</v>
      </c>
    </row>
    <row r="34" spans="1:36" ht="10.5" customHeight="1">
      <c r="A34" s="7">
        <v>5</v>
      </c>
      <c r="B34" s="14" t="s">
        <v>27</v>
      </c>
      <c r="C34" s="177"/>
      <c r="D34" s="177"/>
      <c r="E34" s="177"/>
      <c r="F34" s="177"/>
      <c r="G34" s="177"/>
      <c r="H34" s="177"/>
      <c r="I34" s="177"/>
      <c r="J34" s="177"/>
      <c r="K34" s="162">
        <f t="shared" si="1"/>
        <v>0</v>
      </c>
      <c r="L34" s="162">
        <f t="shared" ca="1" si="2"/>
        <v>0</v>
      </c>
      <c r="M34" s="12">
        <v>0</v>
      </c>
      <c r="N34" s="24">
        <f t="shared" ca="1" si="3"/>
        <v>0</v>
      </c>
      <c r="O34" s="12">
        <v>0</v>
      </c>
      <c r="P34" s="24">
        <f t="shared" ca="1" si="4"/>
        <v>0</v>
      </c>
      <c r="Q34" s="12">
        <v>0</v>
      </c>
      <c r="R34" s="144">
        <v>0</v>
      </c>
      <c r="S34" s="24">
        <f t="shared" ca="1" si="5"/>
        <v>0</v>
      </c>
      <c r="T34" s="24">
        <f t="shared" ca="1" si="6"/>
        <v>0</v>
      </c>
      <c r="U34" s="54">
        <v>0</v>
      </c>
      <c r="V34" s="24">
        <f t="shared" ca="1" si="7"/>
        <v>0</v>
      </c>
      <c r="W34" s="12">
        <v>0</v>
      </c>
      <c r="X34" s="12">
        <v>0</v>
      </c>
      <c r="Y34" s="150">
        <f t="shared" ca="1" si="8"/>
        <v>0</v>
      </c>
      <c r="Z34" s="24">
        <f t="shared" ca="1" si="9"/>
        <v>0</v>
      </c>
      <c r="AA34" s="154">
        <v>0</v>
      </c>
      <c r="AB34" s="24">
        <f t="shared" ca="1" si="10"/>
        <v>0</v>
      </c>
      <c r="AC34" s="12">
        <v>0</v>
      </c>
      <c r="AD34" s="12">
        <v>0</v>
      </c>
      <c r="AE34" s="150">
        <f t="shared" ca="1" si="11"/>
        <v>0</v>
      </c>
      <c r="AF34" s="24">
        <f t="shared" ca="1" si="12"/>
        <v>0</v>
      </c>
      <c r="AG34" s="54">
        <v>0</v>
      </c>
      <c r="AH34" s="12">
        <v>0</v>
      </c>
      <c r="AI34" s="12">
        <v>0</v>
      </c>
      <c r="AJ34" s="12">
        <v>0</v>
      </c>
    </row>
    <row r="35" spans="1:36" s="172" customFormat="1" ht="10.5" customHeight="1">
      <c r="A35" s="7">
        <v>6</v>
      </c>
      <c r="B35" s="14" t="s">
        <v>28</v>
      </c>
      <c r="C35" s="165">
        <f t="shared" ref="C35:J35" si="26">C8+C25+C29+C33</f>
        <v>625.95999999999992</v>
      </c>
      <c r="D35" s="165">
        <f t="shared" si="26"/>
        <v>466.71708333333328</v>
      </c>
      <c r="E35" s="165">
        <f t="shared" si="26"/>
        <v>339.44916666666671</v>
      </c>
      <c r="F35" s="165">
        <f t="shared" si="26"/>
        <v>258.46333333333331</v>
      </c>
      <c r="G35" s="165">
        <f t="shared" si="26"/>
        <v>3490.5374999999995</v>
      </c>
      <c r="H35" s="165">
        <f t="shared" si="26"/>
        <v>2657.7599999999998</v>
      </c>
      <c r="I35" s="165">
        <f t="shared" si="26"/>
        <v>6660.9174999999996</v>
      </c>
      <c r="J35" s="165">
        <f t="shared" si="26"/>
        <v>24762.165000000001</v>
      </c>
      <c r="K35" s="162">
        <f t="shared" si="1"/>
        <v>39261.969583333332</v>
      </c>
      <c r="L35" s="162">
        <f t="shared" ca="1" si="2"/>
        <v>155.97624045377088</v>
      </c>
      <c r="M35" s="166">
        <f>M8+M25+M29+M33</f>
        <v>41213.58</v>
      </c>
      <c r="N35" s="165">
        <f t="shared" ca="1" si="3"/>
        <v>163.7294137879814</v>
      </c>
      <c r="O35" s="166">
        <f>U35+AA35+AG35</f>
        <v>40677.774788037997</v>
      </c>
      <c r="P35" s="165">
        <f t="shared" ca="1" si="4"/>
        <v>161.600817503478</v>
      </c>
      <c r="Q35" s="165">
        <f>O35-M35</f>
        <v>-535.80521196200425</v>
      </c>
      <c r="R35" s="168">
        <f>Q35/M35*100</f>
        <v>-1.3000695692099649</v>
      </c>
      <c r="S35" s="166">
        <f t="shared" ca="1" si="5"/>
        <v>33015.908581403695</v>
      </c>
      <c r="T35" s="165">
        <f t="shared" ca="1" si="6"/>
        <v>163.7294137879814</v>
      </c>
      <c r="U35" s="166">
        <f>U8+U25+U29+U33</f>
        <v>31300.727747141435</v>
      </c>
      <c r="V35" s="165">
        <f t="shared" ca="1" si="7"/>
        <v>155.2236490036581</v>
      </c>
      <c r="W35" s="165">
        <f>U35-S35</f>
        <v>-1715.1808342622608</v>
      </c>
      <c r="X35" s="165">
        <f>W35/S35*100</f>
        <v>-5.1950132768066277</v>
      </c>
      <c r="Y35" s="175">
        <f t="shared" ca="1" si="8"/>
        <v>4654.0118615116471</v>
      </c>
      <c r="Z35" s="165">
        <f t="shared" ca="1" si="9"/>
        <v>163.7294137879814</v>
      </c>
      <c r="AA35" s="166">
        <f>AA8+AA25+AA29+AA33</f>
        <v>5526.8422542144735</v>
      </c>
      <c r="AB35" s="165">
        <f t="shared" ca="1" si="10"/>
        <v>194.43582640274215</v>
      </c>
      <c r="AC35" s="165">
        <f>AA35-Y35</f>
        <v>872.83039270282643</v>
      </c>
      <c r="AD35" s="165">
        <f>AC35/Y35*100</f>
        <v>18.754365452333133</v>
      </c>
      <c r="AE35" s="166">
        <f>AE8+AE25+AE29+AE33</f>
        <v>3543.6595570846584</v>
      </c>
      <c r="AF35" s="165">
        <f t="shared" ca="1" si="12"/>
        <v>163.72941378798137</v>
      </c>
      <c r="AG35" s="166">
        <f>AG8+AG25+AG29+AG33</f>
        <v>3850.204786682084</v>
      </c>
      <c r="AH35" s="165">
        <f ca="1">AG35/а3</f>
        <v>177.8928710651189</v>
      </c>
      <c r="AI35" s="165">
        <f>AG35-AE35</f>
        <v>306.54522959742553</v>
      </c>
      <c r="AJ35" s="165">
        <f>AI35/AE35*100</f>
        <v>8.6505270796841991</v>
      </c>
    </row>
    <row r="36" spans="1:36" ht="10.5" customHeight="1">
      <c r="A36" s="7">
        <v>7</v>
      </c>
      <c r="B36" s="14" t="s">
        <v>29</v>
      </c>
      <c r="C36" s="177"/>
      <c r="D36" s="177"/>
      <c r="E36" s="177"/>
      <c r="F36" s="177"/>
      <c r="G36" s="177"/>
      <c r="H36" s="177"/>
      <c r="I36" s="177"/>
      <c r="J36" s="177"/>
      <c r="K36" s="162">
        <f t="shared" si="1"/>
        <v>0</v>
      </c>
      <c r="L36" s="162">
        <f t="shared" ca="1" si="2"/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44">
        <v>0</v>
      </c>
      <c r="S36" s="12">
        <v>0</v>
      </c>
      <c r="T36" s="12">
        <v>0</v>
      </c>
      <c r="U36" s="54">
        <v>0</v>
      </c>
      <c r="V36" s="12">
        <v>0</v>
      </c>
      <c r="W36" s="12">
        <v>0</v>
      </c>
      <c r="X36" s="12">
        <v>0</v>
      </c>
      <c r="Y36" s="151">
        <v>0</v>
      </c>
      <c r="Z36" s="12">
        <v>0</v>
      </c>
      <c r="AA36" s="154">
        <v>0</v>
      </c>
      <c r="AB36" s="12">
        <v>0</v>
      </c>
      <c r="AC36" s="12">
        <v>0</v>
      </c>
      <c r="AD36" s="12">
        <v>0</v>
      </c>
      <c r="AE36" s="151">
        <v>0</v>
      </c>
      <c r="AF36" s="12">
        <v>0</v>
      </c>
      <c r="AG36" s="54">
        <v>0</v>
      </c>
      <c r="AH36" s="12">
        <v>0</v>
      </c>
      <c r="AI36" s="12">
        <v>0</v>
      </c>
      <c r="AJ36" s="12">
        <v>0</v>
      </c>
    </row>
    <row r="37" spans="1:36" ht="10.5" customHeight="1">
      <c r="A37" s="8" t="s">
        <v>60</v>
      </c>
      <c r="B37" s="18" t="s">
        <v>30</v>
      </c>
      <c r="C37" s="178"/>
      <c r="D37" s="178"/>
      <c r="E37" s="178"/>
      <c r="F37" s="178"/>
      <c r="G37" s="178"/>
      <c r="H37" s="178"/>
      <c r="I37" s="178"/>
      <c r="J37" s="178"/>
      <c r="K37" s="162">
        <f t="shared" si="1"/>
        <v>0</v>
      </c>
      <c r="L37" s="162">
        <f t="shared" ca="1" si="2"/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44">
        <v>0</v>
      </c>
      <c r="S37" s="12">
        <v>0</v>
      </c>
      <c r="T37" s="12">
        <v>0</v>
      </c>
      <c r="U37" s="54">
        <v>0</v>
      </c>
      <c r="V37" s="12">
        <v>0</v>
      </c>
      <c r="W37" s="12">
        <v>0</v>
      </c>
      <c r="X37" s="12">
        <v>0</v>
      </c>
      <c r="Y37" s="151">
        <v>0</v>
      </c>
      <c r="Z37" s="12">
        <v>0</v>
      </c>
      <c r="AA37" s="151">
        <v>0</v>
      </c>
      <c r="AB37" s="12">
        <v>0</v>
      </c>
      <c r="AC37" s="12">
        <v>0</v>
      </c>
      <c r="AD37" s="12">
        <v>0</v>
      </c>
      <c r="AE37" s="151">
        <v>0</v>
      </c>
      <c r="AF37" s="12">
        <v>0</v>
      </c>
      <c r="AG37" s="54">
        <v>0</v>
      </c>
      <c r="AH37" s="12">
        <v>0</v>
      </c>
      <c r="AI37" s="12">
        <v>0</v>
      </c>
      <c r="AJ37" s="12">
        <v>0</v>
      </c>
    </row>
    <row r="38" spans="1:36" ht="10.5" customHeight="1">
      <c r="A38" s="8" t="s">
        <v>61</v>
      </c>
      <c r="B38" s="18" t="s">
        <v>31</v>
      </c>
      <c r="C38" s="178"/>
      <c r="D38" s="178"/>
      <c r="E38" s="178"/>
      <c r="F38" s="178"/>
      <c r="G38" s="178"/>
      <c r="H38" s="178"/>
      <c r="I38" s="178"/>
      <c r="J38" s="178"/>
      <c r="K38" s="162">
        <f t="shared" si="1"/>
        <v>0</v>
      </c>
      <c r="L38" s="162">
        <f t="shared" ca="1" si="2"/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44">
        <v>0</v>
      </c>
      <c r="S38" s="12">
        <v>0</v>
      </c>
      <c r="T38" s="12">
        <v>0</v>
      </c>
      <c r="U38" s="54">
        <v>0</v>
      </c>
      <c r="V38" s="12">
        <v>0</v>
      </c>
      <c r="W38" s="12">
        <v>0</v>
      </c>
      <c r="X38" s="12">
        <v>0</v>
      </c>
      <c r="Y38" s="151">
        <v>0</v>
      </c>
      <c r="Z38" s="12">
        <v>0</v>
      </c>
      <c r="AA38" s="151">
        <v>0</v>
      </c>
      <c r="AB38" s="12">
        <v>0</v>
      </c>
      <c r="AC38" s="12">
        <v>0</v>
      </c>
      <c r="AD38" s="12">
        <v>0</v>
      </c>
      <c r="AE38" s="151">
        <v>0</v>
      </c>
      <c r="AF38" s="12">
        <v>0</v>
      </c>
      <c r="AG38" s="54">
        <v>0</v>
      </c>
      <c r="AH38" s="12">
        <v>0</v>
      </c>
      <c r="AI38" s="12">
        <v>0</v>
      </c>
      <c r="AJ38" s="12">
        <v>0</v>
      </c>
    </row>
    <row r="39" spans="1:36" ht="10.5" customHeight="1">
      <c r="A39" s="8" t="s">
        <v>62</v>
      </c>
      <c r="B39" s="18" t="s">
        <v>32</v>
      </c>
      <c r="C39" s="178"/>
      <c r="D39" s="178"/>
      <c r="E39" s="178"/>
      <c r="F39" s="178"/>
      <c r="G39" s="178"/>
      <c r="H39" s="178"/>
      <c r="I39" s="178"/>
      <c r="J39" s="178"/>
      <c r="K39" s="162">
        <f t="shared" si="1"/>
        <v>0</v>
      </c>
      <c r="L39" s="162">
        <f t="shared" ca="1" si="2"/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44">
        <v>0</v>
      </c>
      <c r="S39" s="12">
        <v>0</v>
      </c>
      <c r="T39" s="12">
        <v>0</v>
      </c>
      <c r="U39" s="54">
        <v>0</v>
      </c>
      <c r="V39" s="12">
        <v>0</v>
      </c>
      <c r="W39" s="12">
        <v>0</v>
      </c>
      <c r="X39" s="12">
        <v>0</v>
      </c>
      <c r="Y39" s="151">
        <v>0</v>
      </c>
      <c r="Z39" s="12">
        <v>0</v>
      </c>
      <c r="AA39" s="151">
        <v>0</v>
      </c>
      <c r="AB39" s="12">
        <v>0</v>
      </c>
      <c r="AC39" s="12">
        <v>0</v>
      </c>
      <c r="AD39" s="12">
        <v>0</v>
      </c>
      <c r="AE39" s="151">
        <v>0</v>
      </c>
      <c r="AF39" s="12">
        <v>0</v>
      </c>
      <c r="AG39" s="54">
        <v>0</v>
      </c>
      <c r="AH39" s="12">
        <v>0</v>
      </c>
      <c r="AI39" s="12">
        <v>0</v>
      </c>
      <c r="AJ39" s="12">
        <v>0</v>
      </c>
    </row>
    <row r="40" spans="1:36" ht="24" customHeight="1">
      <c r="A40" s="8" t="s">
        <v>63</v>
      </c>
      <c r="B40" s="19" t="s">
        <v>33</v>
      </c>
      <c r="C40" s="179"/>
      <c r="D40" s="179"/>
      <c r="E40" s="179"/>
      <c r="F40" s="179"/>
      <c r="G40" s="179"/>
      <c r="H40" s="179"/>
      <c r="I40" s="179"/>
      <c r="J40" s="179"/>
      <c r="K40" s="162">
        <f t="shared" si="1"/>
        <v>0</v>
      </c>
      <c r="L40" s="162">
        <f t="shared" ca="1" si="2"/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44">
        <v>0</v>
      </c>
      <c r="S40" s="12">
        <v>0</v>
      </c>
      <c r="T40" s="12">
        <v>0</v>
      </c>
      <c r="U40" s="54">
        <v>0</v>
      </c>
      <c r="V40" s="12">
        <v>0</v>
      </c>
      <c r="W40" s="12">
        <v>0</v>
      </c>
      <c r="X40" s="12">
        <v>0</v>
      </c>
      <c r="Y40" s="151">
        <v>0</v>
      </c>
      <c r="Z40" s="12">
        <v>0</v>
      </c>
      <c r="AA40" s="151">
        <v>0</v>
      </c>
      <c r="AB40" s="12">
        <v>0</v>
      </c>
      <c r="AC40" s="12">
        <v>0</v>
      </c>
      <c r="AD40" s="12">
        <v>0</v>
      </c>
      <c r="AE40" s="151">
        <v>0</v>
      </c>
      <c r="AF40" s="12">
        <v>0</v>
      </c>
      <c r="AG40" s="54">
        <v>0</v>
      </c>
      <c r="AH40" s="12">
        <v>0</v>
      </c>
      <c r="AI40" s="12">
        <v>0</v>
      </c>
      <c r="AJ40" s="12">
        <v>0</v>
      </c>
    </row>
    <row r="41" spans="1:36" ht="10.5" customHeight="1">
      <c r="A41" s="8" t="s">
        <v>64</v>
      </c>
      <c r="B41" s="18" t="s">
        <v>34</v>
      </c>
      <c r="C41" s="178"/>
      <c r="D41" s="178"/>
      <c r="E41" s="178"/>
      <c r="F41" s="178"/>
      <c r="G41" s="178"/>
      <c r="H41" s="178"/>
      <c r="I41" s="178"/>
      <c r="J41" s="178"/>
      <c r="K41" s="162">
        <f t="shared" si="1"/>
        <v>0</v>
      </c>
      <c r="L41" s="162">
        <f t="shared" ca="1" si="2"/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44">
        <v>0</v>
      </c>
      <c r="S41" s="12">
        <v>0</v>
      </c>
      <c r="T41" s="12">
        <v>0</v>
      </c>
      <c r="U41" s="54">
        <v>0</v>
      </c>
      <c r="V41" s="12">
        <v>0</v>
      </c>
      <c r="W41" s="12">
        <v>0</v>
      </c>
      <c r="X41" s="12">
        <v>0</v>
      </c>
      <c r="Y41" s="151">
        <v>0</v>
      </c>
      <c r="Z41" s="12">
        <v>0</v>
      </c>
      <c r="AA41" s="151">
        <v>0</v>
      </c>
      <c r="AB41" s="12">
        <v>0</v>
      </c>
      <c r="AC41" s="12">
        <v>0</v>
      </c>
      <c r="AD41" s="12">
        <v>0</v>
      </c>
      <c r="AE41" s="151">
        <v>0</v>
      </c>
      <c r="AF41" s="12">
        <v>0</v>
      </c>
      <c r="AG41" s="54">
        <v>0</v>
      </c>
      <c r="AH41" s="12">
        <v>0</v>
      </c>
      <c r="AI41" s="12">
        <v>0</v>
      </c>
      <c r="AJ41" s="12">
        <v>0</v>
      </c>
    </row>
    <row r="42" spans="1:36" ht="21.75" customHeight="1">
      <c r="A42" s="7">
        <v>8</v>
      </c>
      <c r="B42" s="20" t="s">
        <v>35</v>
      </c>
      <c r="C42" s="180">
        <f t="shared" ref="C42:J42" si="27">C35</f>
        <v>625.95999999999992</v>
      </c>
      <c r="D42" s="180">
        <f t="shared" si="27"/>
        <v>466.71708333333328</v>
      </c>
      <c r="E42" s="180">
        <f t="shared" si="27"/>
        <v>339.44916666666671</v>
      </c>
      <c r="F42" s="180">
        <f t="shared" si="27"/>
        <v>258.46333333333331</v>
      </c>
      <c r="G42" s="180">
        <f t="shared" si="27"/>
        <v>3490.5374999999995</v>
      </c>
      <c r="H42" s="180">
        <f t="shared" si="27"/>
        <v>2657.7599999999998</v>
      </c>
      <c r="I42" s="180">
        <f t="shared" si="27"/>
        <v>6660.9174999999996</v>
      </c>
      <c r="J42" s="180">
        <f t="shared" si="27"/>
        <v>24762.165000000001</v>
      </c>
      <c r="K42" s="162">
        <f t="shared" si="1"/>
        <v>39261.969583333332</v>
      </c>
      <c r="L42" s="162">
        <f t="shared" ca="1" si="2"/>
        <v>155.97624045377088</v>
      </c>
      <c r="M42" s="24"/>
      <c r="N42" s="24">
        <f>M12/M45</f>
        <v>97.501712534000902</v>
      </c>
      <c r="O42" s="146"/>
      <c r="P42" s="24">
        <f>O12/O45</f>
        <v>76.126129459561469</v>
      </c>
      <c r="Q42" s="12"/>
      <c r="R42" s="144"/>
      <c r="S42" s="146"/>
      <c r="T42" s="24">
        <f>S12/S45</f>
        <v>97.501712534000902</v>
      </c>
      <c r="U42" s="148"/>
      <c r="V42" s="24">
        <f>U12/U45</f>
        <v>76.125962393445334</v>
      </c>
      <c r="W42" s="24"/>
      <c r="X42" s="24"/>
      <c r="Y42" s="30"/>
      <c r="Z42" s="24">
        <f>Y12/Y45</f>
        <v>97.501712534000902</v>
      </c>
      <c r="AA42" s="30"/>
      <c r="AB42" s="24">
        <f>AA12/AA45</f>
        <v>76.125624135627746</v>
      </c>
      <c r="AC42" s="24"/>
      <c r="AD42" s="24"/>
      <c r="AE42" s="30"/>
      <c r="AF42" s="24">
        <f>AE12/AE45</f>
        <v>97.501712534000887</v>
      </c>
      <c r="AG42" s="148"/>
      <c r="AH42" s="24">
        <f>AG12/AG45</f>
        <v>76.128213075608798</v>
      </c>
      <c r="AI42" s="12"/>
      <c r="AJ42" s="12"/>
    </row>
    <row r="43" spans="1:36" ht="20.25" customHeight="1">
      <c r="A43" s="10">
        <v>9</v>
      </c>
      <c r="B43" s="21" t="s">
        <v>36</v>
      </c>
      <c r="C43" s="181"/>
      <c r="D43" s="181"/>
      <c r="E43" s="181"/>
      <c r="F43" s="181"/>
      <c r="G43" s="181"/>
      <c r="H43" s="181"/>
      <c r="I43" s="181"/>
      <c r="J43" s="181"/>
      <c r="K43" s="162">
        <f t="shared" si="1"/>
        <v>0</v>
      </c>
      <c r="L43" s="181">
        <f ca="1">K12/О</f>
        <v>90.852423275503853</v>
      </c>
      <c r="M43" s="35"/>
      <c r="N43" s="35">
        <f>M35/M44</f>
        <v>163.7294137879814</v>
      </c>
      <c r="O43" s="35"/>
      <c r="P43" s="35">
        <f>O35/O44</f>
        <v>201.00296870170078</v>
      </c>
      <c r="Q43" s="32"/>
      <c r="R43" s="147"/>
      <c r="S43" s="32"/>
      <c r="T43" s="35">
        <f ca="1">S35/в1</f>
        <v>163.7294137879814</v>
      </c>
      <c r="U43" s="149"/>
      <c r="V43" s="35">
        <f>U35/U44</f>
        <v>201.00259914811193</v>
      </c>
      <c r="W43" s="32"/>
      <c r="X43" s="32"/>
      <c r="Y43" s="152"/>
      <c r="Z43" s="35">
        <f>Y35/Y44</f>
        <v>163.7294137879814</v>
      </c>
      <c r="AA43" s="152"/>
      <c r="AB43" s="35">
        <f>AA35/AA44</f>
        <v>201.00531910876032</v>
      </c>
      <c r="AC43" s="32"/>
      <c r="AD43" s="32"/>
      <c r="AE43" s="155"/>
      <c r="AF43" s="35">
        <f>AE35/AE44</f>
        <v>163.72941378798137</v>
      </c>
      <c r="AG43" s="58"/>
      <c r="AH43" s="35">
        <f>AG35/AG44</f>
        <v>201.00259914811193</v>
      </c>
      <c r="AI43" s="32"/>
      <c r="AJ43" s="32"/>
    </row>
    <row r="44" spans="1:36" ht="10.5" customHeight="1">
      <c r="A44" s="11">
        <v>10</v>
      </c>
      <c r="B44" s="18" t="s">
        <v>74</v>
      </c>
      <c r="C44" s="177">
        <f>28425.02/12*2</f>
        <v>4737.5033333333331</v>
      </c>
      <c r="D44" s="177">
        <f>21643.39/12*2</f>
        <v>3607.2316666666666</v>
      </c>
      <c r="E44" s="177">
        <f>28425.02/12</f>
        <v>2368.7516666666666</v>
      </c>
      <c r="F44" s="177">
        <f>21643.39/12</f>
        <v>1803.6158333333333</v>
      </c>
      <c r="G44" s="177">
        <f>28425.02/12*9</f>
        <v>21318.764999999999</v>
      </c>
      <c r="H44" s="177">
        <f>21643.39/12*9</f>
        <v>16232.5425</v>
      </c>
      <c r="I44" s="177">
        <f>201649.22/12*3</f>
        <v>50412.304999999993</v>
      </c>
      <c r="J44" s="177">
        <f>201649.22/12*9</f>
        <v>151236.91499999998</v>
      </c>
      <c r="K44" s="162">
        <f>SUM(C44:J44)/1000</f>
        <v>251.71762999999999</v>
      </c>
      <c r="L44" s="177"/>
      <c r="M44" s="36">
        <f ca="1">в1+в2+в3</f>
        <v>251.71763000000001</v>
      </c>
      <c r="N44" s="12"/>
      <c r="O44" s="36">
        <f>U44+AA44+AG44</f>
        <v>202.37400000000002</v>
      </c>
      <c r="P44" s="12"/>
      <c r="Q44" s="12"/>
      <c r="R44" s="144"/>
      <c r="S44" s="36">
        <v>201.64922000000001</v>
      </c>
      <c r="T44" s="12"/>
      <c r="U44" s="54">
        <v>155.72300000000001</v>
      </c>
      <c r="V44" s="12"/>
      <c r="W44" s="12"/>
      <c r="X44" s="12"/>
      <c r="Y44" s="151">
        <v>28.42502</v>
      </c>
      <c r="Z44" s="12"/>
      <c r="AA44" s="151">
        <v>27.495999999999999</v>
      </c>
      <c r="AB44" s="12"/>
      <c r="AC44" s="12"/>
      <c r="AD44" s="12"/>
      <c r="AE44" s="151">
        <v>21.64339</v>
      </c>
      <c r="AF44" s="12"/>
      <c r="AG44" s="55">
        <v>19.155000000000001</v>
      </c>
      <c r="AH44" s="12"/>
      <c r="AI44" s="12"/>
      <c r="AJ44" s="12"/>
    </row>
    <row r="45" spans="1:36" ht="10.5" customHeight="1">
      <c r="A45" s="13">
        <v>11</v>
      </c>
      <c r="B45" s="18" t="s">
        <v>75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36">
        <f ca="1">в1+в2+в3</f>
        <v>251.71763000000001</v>
      </c>
      <c r="N45" s="12"/>
      <c r="O45" s="36">
        <f>U45+AA45+AG45</f>
        <v>270.262</v>
      </c>
      <c r="P45" s="12"/>
      <c r="Q45" s="12"/>
      <c r="R45" s="144"/>
      <c r="S45" s="36">
        <v>201.64922000000001</v>
      </c>
      <c r="T45" s="36"/>
      <c r="U45" s="55">
        <v>207.96199999999999</v>
      </c>
      <c r="V45" s="36"/>
      <c r="W45" s="36"/>
      <c r="X45" s="36"/>
      <c r="Y45" s="151">
        <v>28.42502</v>
      </c>
      <c r="Z45" s="36"/>
      <c r="AA45" s="151">
        <v>36.72</v>
      </c>
      <c r="AB45" s="36"/>
      <c r="AC45" s="36"/>
      <c r="AD45" s="36"/>
      <c r="AE45" s="151">
        <v>21.64339</v>
      </c>
      <c r="AF45" s="12"/>
      <c r="AG45" s="36">
        <v>25.58</v>
      </c>
      <c r="AH45" s="12"/>
      <c r="AI45" s="12"/>
      <c r="AJ45" s="12"/>
    </row>
    <row r="46" spans="1:36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</row>
    <row r="47" spans="1:36" ht="15.6">
      <c r="B47" s="198" t="s">
        <v>83</v>
      </c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6"/>
      <c r="Z47" s="6"/>
      <c r="AA47" s="6"/>
      <c r="AB47" s="6"/>
    </row>
    <row r="48" spans="1:36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U48" s="59"/>
    </row>
    <row r="49" spans="2:14" ht="36.75" customHeight="1">
      <c r="B49" s="60" t="s">
        <v>84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51"/>
      <c r="N49" s="1"/>
    </row>
    <row r="50" spans="2:14"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1"/>
    </row>
    <row r="51" spans="2:14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1"/>
    </row>
    <row r="52" spans="2:14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2:14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2:14"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2:14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9" spans="2:14">
      <c r="J59" s="184"/>
    </row>
  </sheetData>
  <mergeCells count="12">
    <mergeCell ref="AA5:AB5"/>
    <mergeCell ref="AE5:AF5"/>
    <mergeCell ref="AG5:AH5"/>
    <mergeCell ref="B1:Y4"/>
    <mergeCell ref="AE4:AG4"/>
    <mergeCell ref="Y5:Z5"/>
    <mergeCell ref="B47:X47"/>
    <mergeCell ref="A5:A6"/>
    <mergeCell ref="M5:N5"/>
    <mergeCell ref="O5:P5"/>
    <mergeCell ref="S5:T5"/>
    <mergeCell ref="U5:V5"/>
  </mergeCells>
  <phoneticPr fontId="14" type="noConversion"/>
  <pageMargins left="0.11811023622047245" right="0" top="1.0236220472440944" bottom="0" header="0.19685039370078741" footer="0.19685039370078741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23"/>
  <sheetViews>
    <sheetView topLeftCell="A10" workbookViewId="0">
      <selection activeCell="L119" sqref="L119"/>
    </sheetView>
  </sheetViews>
  <sheetFormatPr defaultColWidth="9.109375" defaultRowHeight="13.2"/>
  <cols>
    <col min="1" max="1" width="6.6640625" style="61" customWidth="1"/>
    <col min="2" max="2" width="17.44140625" style="61" customWidth="1"/>
    <col min="3" max="3" width="6.88671875" style="64" customWidth="1"/>
    <col min="4" max="4" width="12" style="64" customWidth="1"/>
    <col min="5" max="5" width="9" style="64" customWidth="1"/>
    <col min="6" max="6" width="9.6640625" style="64" customWidth="1"/>
    <col min="7" max="7" width="8.88671875" style="64" customWidth="1"/>
    <col min="8" max="8" width="6" style="64" customWidth="1"/>
    <col min="9" max="9" width="5.6640625" style="64" customWidth="1"/>
    <col min="10" max="10" width="6.109375" style="64" customWidth="1"/>
    <col min="11" max="11" width="8.44140625" style="64" customWidth="1"/>
    <col min="12" max="12" width="8.109375" style="64" customWidth="1"/>
    <col min="13" max="13" width="6.5546875" style="64" customWidth="1"/>
    <col min="14" max="14" width="6.6640625" style="64" customWidth="1"/>
    <col min="15" max="15" width="7.109375" style="64" customWidth="1"/>
    <col min="16" max="16" width="6.6640625" style="64" customWidth="1"/>
    <col min="17" max="17" width="6.33203125" style="64" customWidth="1"/>
    <col min="18" max="18" width="14.33203125" style="64" customWidth="1"/>
    <col min="19" max="19" width="13.88671875" style="64" customWidth="1"/>
    <col min="20" max="20" width="4.44140625" style="64" hidden="1" customWidth="1"/>
    <col min="21" max="21" width="4.33203125" style="64" hidden="1" customWidth="1"/>
    <col min="22" max="22" width="9.5546875" style="64" hidden="1" customWidth="1"/>
    <col min="23" max="23" width="3.44140625" style="64" hidden="1" customWidth="1"/>
    <col min="24" max="24" width="11.109375" style="64" hidden="1" customWidth="1"/>
    <col min="25" max="29" width="9.109375" style="66"/>
    <col min="30" max="16384" width="9.109375" style="64"/>
  </cols>
  <sheetData>
    <row r="1" spans="1:31" ht="65.25" hidden="1" customHeight="1">
      <c r="C1" s="282"/>
      <c r="D1" s="282"/>
      <c r="E1" s="63"/>
      <c r="F1" s="63"/>
      <c r="O1" s="283" t="s">
        <v>85</v>
      </c>
      <c r="P1" s="283"/>
      <c r="Q1" s="283"/>
      <c r="R1" s="283"/>
      <c r="S1" s="283"/>
      <c r="T1" s="283"/>
      <c r="U1" s="283"/>
      <c r="V1" s="283"/>
      <c r="W1" s="283"/>
      <c r="X1" s="283"/>
    </row>
    <row r="2" spans="1:31" ht="10.5" hidden="1" customHeight="1">
      <c r="C2" s="62"/>
      <c r="D2" s="62"/>
      <c r="E2" s="63"/>
      <c r="F2" s="63"/>
      <c r="O2" s="67"/>
      <c r="P2" s="68"/>
      <c r="Q2" s="68"/>
      <c r="R2" s="68"/>
      <c r="S2" s="68"/>
      <c r="T2" s="68"/>
      <c r="U2" s="68"/>
      <c r="V2" s="68"/>
      <c r="W2" s="68"/>
      <c r="X2" s="68"/>
    </row>
    <row r="3" spans="1:31" ht="14.25" hidden="1" customHeight="1">
      <c r="B3" s="284" t="s">
        <v>86</v>
      </c>
      <c r="C3" s="284"/>
      <c r="D3" s="284"/>
      <c r="E3" s="284"/>
      <c r="F3" s="63"/>
      <c r="N3" s="285" t="s">
        <v>87</v>
      </c>
      <c r="O3" s="285"/>
      <c r="P3" s="285"/>
      <c r="Q3" s="285"/>
      <c r="R3" s="65"/>
      <c r="S3" s="65"/>
      <c r="T3" s="68"/>
      <c r="U3" s="68"/>
      <c r="V3" s="68"/>
      <c r="W3" s="68"/>
      <c r="X3" s="68"/>
    </row>
    <row r="4" spans="1:31" ht="14.25" hidden="1" customHeight="1">
      <c r="B4" s="265" t="s">
        <v>88</v>
      </c>
      <c r="C4" s="265"/>
      <c r="D4" s="265"/>
      <c r="E4" s="265"/>
      <c r="F4" s="69"/>
      <c r="G4" s="69"/>
      <c r="H4" s="70"/>
      <c r="I4" s="70"/>
      <c r="N4" s="71" t="s">
        <v>89</v>
      </c>
      <c r="O4" s="71"/>
      <c r="P4" s="71"/>
      <c r="Q4" s="71"/>
      <c r="R4" s="72"/>
      <c r="S4" s="72"/>
      <c r="T4" s="68"/>
      <c r="U4" s="68"/>
      <c r="V4" s="68"/>
      <c r="W4" s="68"/>
      <c r="X4" s="68"/>
    </row>
    <row r="5" spans="1:31" ht="14.25" hidden="1" customHeight="1">
      <c r="B5" s="73" t="s">
        <v>90</v>
      </c>
      <c r="C5" s="73"/>
      <c r="D5" s="73"/>
      <c r="E5" s="73"/>
      <c r="F5" s="69"/>
      <c r="G5" s="69"/>
      <c r="H5" s="70"/>
      <c r="I5" s="70"/>
      <c r="N5" s="266" t="s">
        <v>91</v>
      </c>
      <c r="O5" s="266"/>
      <c r="P5" s="266"/>
      <c r="Q5" s="266"/>
      <c r="R5" s="72"/>
      <c r="S5" s="72"/>
      <c r="T5" s="68"/>
      <c r="U5" s="68"/>
      <c r="V5" s="68"/>
      <c r="W5" s="68"/>
      <c r="X5" s="68"/>
    </row>
    <row r="6" spans="1:31" ht="14.25" hidden="1" customHeight="1">
      <c r="B6" s="267" t="s">
        <v>92</v>
      </c>
      <c r="C6" s="267"/>
      <c r="D6" s="267"/>
      <c r="E6" s="267"/>
      <c r="F6" s="69"/>
      <c r="G6" s="69"/>
      <c r="H6" s="70"/>
      <c r="I6" s="70"/>
      <c r="N6" s="71" t="s">
        <v>93</v>
      </c>
      <c r="O6" s="71"/>
      <c r="P6" s="71"/>
      <c r="Q6" s="71"/>
      <c r="R6" s="72"/>
      <c r="S6" s="72"/>
      <c r="T6" s="68"/>
      <c r="U6" s="68"/>
      <c r="V6" s="68"/>
      <c r="W6" s="68"/>
      <c r="X6" s="68"/>
    </row>
    <row r="7" spans="1:31" ht="14.25" hidden="1" customHeight="1">
      <c r="B7" s="75" t="s">
        <v>193</v>
      </c>
      <c r="C7" s="76"/>
      <c r="D7" s="76"/>
      <c r="E7" s="76"/>
      <c r="F7" s="69"/>
      <c r="G7" s="69"/>
      <c r="H7" s="70"/>
      <c r="I7" s="70"/>
      <c r="N7" s="77" t="s">
        <v>94</v>
      </c>
      <c r="O7" s="78"/>
      <c r="P7" s="268" t="s">
        <v>95</v>
      </c>
      <c r="Q7" s="268"/>
      <c r="R7" s="74"/>
      <c r="S7" s="74"/>
      <c r="T7" s="68"/>
      <c r="U7" s="68"/>
      <c r="V7" s="68"/>
      <c r="W7" s="68"/>
      <c r="X7" s="68"/>
    </row>
    <row r="8" spans="1:31" ht="14.25" hidden="1" customHeight="1">
      <c r="B8" s="131" t="s">
        <v>194</v>
      </c>
      <c r="C8" s="62"/>
      <c r="D8" s="62"/>
      <c r="E8" s="63"/>
      <c r="F8" s="63"/>
      <c r="N8" s="271" t="s">
        <v>96</v>
      </c>
      <c r="O8" s="271"/>
      <c r="P8" s="271"/>
      <c r="Q8" s="271"/>
      <c r="R8" s="271"/>
      <c r="S8" s="271"/>
      <c r="T8" s="68"/>
      <c r="U8" s="68"/>
      <c r="V8" s="68"/>
      <c r="W8" s="68"/>
      <c r="X8" s="68"/>
    </row>
    <row r="9" spans="1:31" ht="14.25" hidden="1" customHeight="1">
      <c r="C9" s="62"/>
      <c r="D9" s="62"/>
      <c r="E9" s="63"/>
      <c r="F9" s="63"/>
      <c r="N9" s="79" t="s">
        <v>97</v>
      </c>
      <c r="O9" s="80"/>
      <c r="P9" s="80"/>
      <c r="Q9" s="80"/>
      <c r="R9" s="72"/>
      <c r="S9" s="72"/>
      <c r="T9" s="68"/>
      <c r="U9" s="68"/>
      <c r="V9" s="68"/>
      <c r="W9" s="68"/>
      <c r="X9" s="68"/>
    </row>
    <row r="10" spans="1:31" ht="9" customHeight="1">
      <c r="C10" s="62"/>
      <c r="D10" s="62"/>
      <c r="E10" s="63"/>
      <c r="F10" s="63"/>
      <c r="O10" s="67"/>
      <c r="P10" s="68"/>
      <c r="Q10" s="68"/>
      <c r="R10" s="68"/>
      <c r="S10" s="68"/>
      <c r="T10" s="68"/>
      <c r="U10" s="68"/>
      <c r="V10" s="68"/>
      <c r="W10" s="68"/>
      <c r="X10" s="68"/>
    </row>
    <row r="11" spans="1:31" ht="18" customHeight="1">
      <c r="A11" s="275" t="s">
        <v>195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81"/>
      <c r="W11" s="81"/>
    </row>
    <row r="12" spans="1:31" ht="18.600000000000001" customHeight="1">
      <c r="A12" s="269" t="s">
        <v>98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61"/>
      <c r="W12" s="61"/>
    </row>
    <row r="13" spans="1:31" ht="17.399999999999999" customHeight="1">
      <c r="A13" s="270" t="s">
        <v>99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</row>
    <row r="14" spans="1:31" ht="145.5" customHeight="1">
      <c r="A14" s="240" t="s">
        <v>100</v>
      </c>
      <c r="B14" s="240" t="s">
        <v>101</v>
      </c>
      <c r="C14" s="243" t="s">
        <v>102</v>
      </c>
      <c r="D14" s="132" t="s">
        <v>103</v>
      </c>
      <c r="E14" s="258" t="s">
        <v>196</v>
      </c>
      <c r="F14" s="261" t="s">
        <v>197</v>
      </c>
      <c r="G14" s="262"/>
      <c r="H14" s="279" t="s">
        <v>200</v>
      </c>
      <c r="I14" s="243" t="s">
        <v>201</v>
      </c>
      <c r="J14" s="243" t="s">
        <v>202</v>
      </c>
      <c r="K14" s="247" t="s">
        <v>203</v>
      </c>
      <c r="L14" s="247" t="s">
        <v>204</v>
      </c>
      <c r="M14" s="231" t="s">
        <v>205</v>
      </c>
      <c r="N14" s="231" t="s">
        <v>207</v>
      </c>
      <c r="O14" s="276" t="s">
        <v>206</v>
      </c>
      <c r="P14" s="255" t="s">
        <v>208</v>
      </c>
      <c r="Q14" s="231" t="s">
        <v>209</v>
      </c>
      <c r="R14" s="250" t="s">
        <v>210</v>
      </c>
      <c r="S14" s="251"/>
      <c r="T14" s="231" t="s">
        <v>104</v>
      </c>
      <c r="U14" s="231" t="s">
        <v>105</v>
      </c>
      <c r="V14" s="231" t="s">
        <v>106</v>
      </c>
      <c r="W14" s="231" t="s">
        <v>107</v>
      </c>
      <c r="X14" s="231" t="s">
        <v>108</v>
      </c>
    </row>
    <row r="15" spans="1:31" ht="15.75" customHeight="1">
      <c r="A15" s="241"/>
      <c r="B15" s="241"/>
      <c r="C15" s="244"/>
      <c r="D15" s="240" t="s">
        <v>109</v>
      </c>
      <c r="E15" s="259"/>
      <c r="F15" s="263"/>
      <c r="G15" s="264"/>
      <c r="H15" s="280"/>
      <c r="I15" s="252"/>
      <c r="J15" s="252"/>
      <c r="K15" s="248"/>
      <c r="L15" s="248"/>
      <c r="M15" s="232"/>
      <c r="N15" s="232"/>
      <c r="O15" s="277"/>
      <c r="P15" s="256"/>
      <c r="Q15" s="232"/>
      <c r="R15" s="237" t="s">
        <v>211</v>
      </c>
      <c r="S15" s="272" t="s">
        <v>212</v>
      </c>
      <c r="T15" s="232"/>
      <c r="U15" s="232"/>
      <c r="V15" s="232"/>
      <c r="W15" s="232"/>
      <c r="X15" s="232"/>
    </row>
    <row r="16" spans="1:31" ht="51" customHeight="1">
      <c r="A16" s="241"/>
      <c r="B16" s="241"/>
      <c r="C16" s="244"/>
      <c r="D16" s="241"/>
      <c r="E16" s="259"/>
      <c r="F16" s="246" t="s">
        <v>198</v>
      </c>
      <c r="G16" s="246" t="s">
        <v>199</v>
      </c>
      <c r="H16" s="280"/>
      <c r="I16" s="252"/>
      <c r="J16" s="252"/>
      <c r="K16" s="248"/>
      <c r="L16" s="248"/>
      <c r="M16" s="232"/>
      <c r="N16" s="232"/>
      <c r="O16" s="277"/>
      <c r="P16" s="256"/>
      <c r="Q16" s="232"/>
      <c r="R16" s="238"/>
      <c r="S16" s="273"/>
      <c r="T16" s="232"/>
      <c r="U16" s="232"/>
      <c r="V16" s="232"/>
      <c r="W16" s="232"/>
      <c r="X16" s="232"/>
      <c r="Y16" s="83"/>
      <c r="AD16" s="66"/>
      <c r="AE16" s="66"/>
    </row>
    <row r="17" spans="1:31" ht="58.5" customHeight="1">
      <c r="A17" s="242"/>
      <c r="B17" s="242"/>
      <c r="C17" s="245"/>
      <c r="D17" s="242"/>
      <c r="E17" s="260"/>
      <c r="F17" s="246"/>
      <c r="G17" s="246"/>
      <c r="H17" s="281"/>
      <c r="I17" s="253"/>
      <c r="J17" s="253"/>
      <c r="K17" s="249"/>
      <c r="L17" s="249"/>
      <c r="M17" s="233"/>
      <c r="N17" s="233"/>
      <c r="O17" s="278"/>
      <c r="P17" s="257"/>
      <c r="Q17" s="233"/>
      <c r="R17" s="239"/>
      <c r="S17" s="274"/>
      <c r="T17" s="233"/>
      <c r="U17" s="233"/>
      <c r="V17" s="233"/>
      <c r="W17" s="233"/>
      <c r="X17" s="233"/>
      <c r="Y17" s="83"/>
      <c r="Z17" s="254"/>
      <c r="AA17" s="254"/>
      <c r="AB17" s="254"/>
      <c r="AC17" s="254"/>
      <c r="AD17" s="254"/>
      <c r="AE17" s="66"/>
    </row>
    <row r="18" spans="1:31" s="61" customFormat="1" ht="15.75" customHeight="1">
      <c r="A18" s="85">
        <v>1</v>
      </c>
      <c r="B18" s="85">
        <v>2</v>
      </c>
      <c r="C18" s="85">
        <v>3</v>
      </c>
      <c r="D18" s="85">
        <v>4</v>
      </c>
      <c r="E18" s="85">
        <v>5</v>
      </c>
      <c r="F18" s="85">
        <v>6</v>
      </c>
      <c r="G18" s="86">
        <v>7</v>
      </c>
      <c r="H18" s="85">
        <v>8</v>
      </c>
      <c r="I18" s="85">
        <v>9</v>
      </c>
      <c r="J18" s="85">
        <v>10</v>
      </c>
      <c r="K18" s="87">
        <v>11</v>
      </c>
      <c r="L18" s="87">
        <v>12</v>
      </c>
      <c r="M18" s="87">
        <v>13</v>
      </c>
      <c r="N18" s="88">
        <v>14</v>
      </c>
      <c r="O18" s="88">
        <v>15</v>
      </c>
      <c r="P18" s="88">
        <v>16</v>
      </c>
      <c r="Q18" s="88">
        <v>17</v>
      </c>
      <c r="R18" s="88">
        <v>18</v>
      </c>
      <c r="S18" s="88">
        <v>19</v>
      </c>
      <c r="T18" s="88">
        <v>20</v>
      </c>
      <c r="U18" s="88">
        <v>21</v>
      </c>
      <c r="V18" s="88">
        <v>22</v>
      </c>
      <c r="W18" s="88">
        <v>23</v>
      </c>
      <c r="X18" s="88">
        <v>24</v>
      </c>
      <c r="Y18" s="89"/>
      <c r="Z18" s="254"/>
      <c r="AA18" s="254"/>
      <c r="AB18" s="254"/>
      <c r="AC18" s="254"/>
      <c r="AD18" s="254"/>
      <c r="AE18" s="90"/>
    </row>
    <row r="19" spans="1:31" ht="12" customHeight="1">
      <c r="A19" s="85" t="s">
        <v>110</v>
      </c>
      <c r="B19" s="215" t="s">
        <v>111</v>
      </c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7"/>
      <c r="Y19" s="91"/>
      <c r="Z19" s="254"/>
      <c r="AA19" s="254"/>
      <c r="AB19" s="254"/>
      <c r="AC19" s="254"/>
      <c r="AD19" s="254"/>
      <c r="AE19" s="66"/>
    </row>
    <row r="20" spans="1:31" ht="18" hidden="1" customHeight="1">
      <c r="A20" s="92" t="s">
        <v>112</v>
      </c>
      <c r="B20" s="215" t="s">
        <v>113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7"/>
      <c r="Y20" s="93"/>
      <c r="Z20" s="254"/>
      <c r="AA20" s="254"/>
      <c r="AB20" s="254"/>
      <c r="AC20" s="254"/>
      <c r="AD20" s="254"/>
      <c r="AE20" s="66"/>
    </row>
    <row r="21" spans="1:31" ht="15.75" hidden="1" customHeight="1">
      <c r="A21" s="94" t="s">
        <v>114</v>
      </c>
      <c r="B21" s="212" t="s">
        <v>115</v>
      </c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4"/>
      <c r="Y21" s="93"/>
      <c r="Z21" s="95"/>
      <c r="AA21" s="95"/>
      <c r="AD21" s="66"/>
      <c r="AE21" s="66"/>
    </row>
    <row r="22" spans="1:31" hidden="1">
      <c r="A22" s="85"/>
      <c r="B22" s="85"/>
      <c r="C22" s="85"/>
      <c r="D22" s="85"/>
      <c r="E22" s="96" t="s">
        <v>116</v>
      </c>
      <c r="F22" s="96" t="s">
        <v>116</v>
      </c>
      <c r="G22" s="96" t="s">
        <v>116</v>
      </c>
      <c r="H22" s="96" t="s">
        <v>116</v>
      </c>
      <c r="I22" s="96" t="s">
        <v>116</v>
      </c>
      <c r="J22" s="96" t="s">
        <v>116</v>
      </c>
      <c r="K22" s="96" t="s">
        <v>116</v>
      </c>
      <c r="L22" s="96" t="s">
        <v>116</v>
      </c>
      <c r="M22" s="96" t="s">
        <v>116</v>
      </c>
      <c r="N22" s="85"/>
      <c r="O22" s="85"/>
      <c r="P22" s="97"/>
      <c r="Q22" s="97"/>
      <c r="R22" s="85"/>
      <c r="S22" s="85"/>
      <c r="T22" s="85"/>
      <c r="U22" s="85"/>
      <c r="V22" s="85"/>
      <c r="W22" s="85"/>
      <c r="X22" s="85"/>
      <c r="Y22" s="98"/>
      <c r="Z22" s="98"/>
      <c r="AA22" s="98"/>
    </row>
    <row r="23" spans="1:31" ht="12" hidden="1" customHeight="1">
      <c r="A23" s="209" t="s">
        <v>117</v>
      </c>
      <c r="B23" s="210"/>
      <c r="C23" s="211"/>
      <c r="D23" s="99"/>
      <c r="E23" s="82" t="s">
        <v>116</v>
      </c>
      <c r="F23" s="82" t="s">
        <v>116</v>
      </c>
      <c r="G23" s="82"/>
      <c r="H23" s="82"/>
      <c r="I23" s="82"/>
      <c r="J23" s="82"/>
      <c r="K23" s="82"/>
      <c r="L23" s="82"/>
      <c r="M23" s="82"/>
      <c r="N23" s="82"/>
      <c r="O23" s="82"/>
      <c r="P23" s="97"/>
      <c r="Q23" s="97"/>
      <c r="R23" s="82"/>
      <c r="S23" s="82"/>
      <c r="T23" s="82"/>
      <c r="U23" s="82"/>
      <c r="V23" s="82"/>
      <c r="W23" s="82"/>
      <c r="X23" s="82"/>
      <c r="Y23" s="90"/>
      <c r="Z23" s="90"/>
      <c r="AA23" s="90"/>
    </row>
    <row r="24" spans="1:31" ht="15.75" hidden="1" customHeight="1">
      <c r="A24" s="82" t="s">
        <v>118</v>
      </c>
      <c r="B24" s="212" t="s">
        <v>119</v>
      </c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4"/>
      <c r="Y24" s="100"/>
      <c r="Z24" s="100"/>
      <c r="AA24" s="100"/>
    </row>
    <row r="25" spans="1:31" hidden="1">
      <c r="A25" s="85"/>
      <c r="B25" s="85"/>
      <c r="C25" s="85"/>
      <c r="D25" s="85"/>
      <c r="E25" s="96" t="s">
        <v>116</v>
      </c>
      <c r="F25" s="96" t="s">
        <v>116</v>
      </c>
      <c r="G25" s="96" t="s">
        <v>116</v>
      </c>
      <c r="H25" s="96" t="s">
        <v>116</v>
      </c>
      <c r="I25" s="96" t="s">
        <v>116</v>
      </c>
      <c r="J25" s="96" t="s">
        <v>116</v>
      </c>
      <c r="K25" s="96" t="s">
        <v>116</v>
      </c>
      <c r="L25" s="96" t="s">
        <v>116</v>
      </c>
      <c r="M25" s="96" t="s">
        <v>116</v>
      </c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98"/>
      <c r="Z25" s="98"/>
      <c r="AA25" s="98"/>
    </row>
    <row r="26" spans="1:31" ht="11.25" hidden="1" customHeight="1">
      <c r="A26" s="209" t="s">
        <v>120</v>
      </c>
      <c r="B26" s="210"/>
      <c r="C26" s="211"/>
      <c r="D26" s="82"/>
      <c r="E26" s="82" t="s">
        <v>116</v>
      </c>
      <c r="F26" s="82" t="s">
        <v>116</v>
      </c>
      <c r="G26" s="82"/>
      <c r="H26" s="82"/>
      <c r="I26" s="82"/>
      <c r="J26" s="82"/>
      <c r="K26" s="82"/>
      <c r="L26" s="82"/>
      <c r="M26" s="82"/>
      <c r="N26" s="82"/>
      <c r="O26" s="82"/>
      <c r="P26" s="101"/>
      <c r="Q26" s="101"/>
      <c r="R26" s="82"/>
      <c r="S26" s="82"/>
      <c r="T26" s="82"/>
      <c r="U26" s="82"/>
      <c r="V26" s="82"/>
      <c r="W26" s="82"/>
      <c r="X26" s="82"/>
      <c r="Y26" s="90"/>
      <c r="Z26" s="90"/>
      <c r="AA26" s="90"/>
    </row>
    <row r="27" spans="1:31" hidden="1">
      <c r="A27" s="92" t="s">
        <v>121</v>
      </c>
      <c r="B27" s="209" t="s">
        <v>122</v>
      </c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1"/>
      <c r="Y27" s="100"/>
      <c r="Z27" s="100"/>
      <c r="AA27" s="100"/>
    </row>
    <row r="28" spans="1:31" hidden="1">
      <c r="A28" s="85"/>
      <c r="B28" s="85"/>
      <c r="C28" s="85"/>
      <c r="D28" s="85"/>
      <c r="E28" s="96" t="s">
        <v>116</v>
      </c>
      <c r="F28" s="96" t="s">
        <v>116</v>
      </c>
      <c r="G28" s="96" t="s">
        <v>116</v>
      </c>
      <c r="H28" s="96" t="s">
        <v>116</v>
      </c>
      <c r="I28" s="96" t="s">
        <v>116</v>
      </c>
      <c r="J28" s="96" t="s">
        <v>116</v>
      </c>
      <c r="K28" s="96" t="s">
        <v>116</v>
      </c>
      <c r="L28" s="96" t="s">
        <v>116</v>
      </c>
      <c r="M28" s="96" t="s">
        <v>116</v>
      </c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98"/>
      <c r="Z28" s="98"/>
      <c r="AA28" s="98"/>
    </row>
    <row r="29" spans="1:31" ht="12" hidden="1" customHeight="1">
      <c r="A29" s="209" t="s">
        <v>123</v>
      </c>
      <c r="B29" s="210"/>
      <c r="C29" s="211"/>
      <c r="D29" s="82"/>
      <c r="E29" s="82" t="s">
        <v>116</v>
      </c>
      <c r="F29" s="82" t="s">
        <v>116</v>
      </c>
      <c r="G29" s="82"/>
      <c r="H29" s="82"/>
      <c r="I29" s="82"/>
      <c r="J29" s="82"/>
      <c r="K29" s="82"/>
      <c r="L29" s="82"/>
      <c r="M29" s="82"/>
      <c r="N29" s="82"/>
      <c r="O29" s="82"/>
      <c r="P29" s="101"/>
      <c r="Q29" s="101"/>
      <c r="R29" s="82"/>
      <c r="S29" s="82"/>
      <c r="T29" s="82"/>
      <c r="U29" s="82"/>
      <c r="V29" s="82"/>
      <c r="W29" s="82"/>
      <c r="X29" s="82"/>
      <c r="Y29" s="90"/>
      <c r="Z29" s="90"/>
      <c r="AA29" s="90"/>
    </row>
    <row r="30" spans="1:31" ht="11.25" hidden="1" customHeight="1">
      <c r="A30" s="209" t="s">
        <v>124</v>
      </c>
      <c r="B30" s="210"/>
      <c r="C30" s="211"/>
      <c r="D30" s="82"/>
      <c r="E30" s="82" t="s">
        <v>116</v>
      </c>
      <c r="F30" s="82" t="s">
        <v>116</v>
      </c>
      <c r="G30" s="82"/>
      <c r="H30" s="82"/>
      <c r="I30" s="82"/>
      <c r="J30" s="82"/>
      <c r="K30" s="82"/>
      <c r="L30" s="82"/>
      <c r="M30" s="82"/>
      <c r="N30" s="82"/>
      <c r="O30" s="82"/>
      <c r="P30" s="101"/>
      <c r="Q30" s="101"/>
      <c r="R30" s="82"/>
      <c r="S30" s="82"/>
      <c r="T30" s="82"/>
      <c r="U30" s="82"/>
      <c r="V30" s="82"/>
      <c r="W30" s="82"/>
      <c r="X30" s="82"/>
      <c r="Y30" s="90"/>
      <c r="Z30" s="90"/>
      <c r="AA30" s="90"/>
    </row>
    <row r="31" spans="1:31" ht="17.399999999999999" hidden="1" customHeight="1">
      <c r="A31" s="92" t="s">
        <v>125</v>
      </c>
      <c r="B31" s="218" t="s">
        <v>126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20"/>
      <c r="Y31" s="100"/>
      <c r="Z31" s="100"/>
      <c r="AA31" s="100"/>
    </row>
    <row r="32" spans="1:31" ht="16.95" hidden="1" customHeight="1">
      <c r="A32" s="102" t="s">
        <v>127</v>
      </c>
      <c r="B32" s="212" t="s">
        <v>115</v>
      </c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4"/>
    </row>
    <row r="33" spans="1:27" hidden="1">
      <c r="A33" s="85"/>
      <c r="B33" s="85"/>
      <c r="C33" s="85"/>
      <c r="D33" s="85"/>
      <c r="E33" s="96" t="s">
        <v>116</v>
      </c>
      <c r="F33" s="96" t="s">
        <v>116</v>
      </c>
      <c r="G33" s="96" t="s">
        <v>116</v>
      </c>
      <c r="H33" s="96" t="s">
        <v>116</v>
      </c>
      <c r="I33" s="96" t="s">
        <v>116</v>
      </c>
      <c r="J33" s="96" t="s">
        <v>116</v>
      </c>
      <c r="K33" s="96" t="s">
        <v>116</v>
      </c>
      <c r="L33" s="96" t="s">
        <v>116</v>
      </c>
      <c r="M33" s="96" t="s">
        <v>116</v>
      </c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98"/>
      <c r="Z33" s="98"/>
      <c r="AA33" s="98"/>
    </row>
    <row r="34" spans="1:27" ht="12.75" hidden="1" customHeight="1">
      <c r="A34" s="223" t="s">
        <v>128</v>
      </c>
      <c r="B34" s="223"/>
      <c r="C34" s="223"/>
      <c r="D34" s="82"/>
      <c r="E34" s="82" t="s">
        <v>116</v>
      </c>
      <c r="F34" s="82" t="s">
        <v>116</v>
      </c>
      <c r="G34" s="82"/>
      <c r="H34" s="82"/>
      <c r="I34" s="82"/>
      <c r="J34" s="82"/>
      <c r="K34" s="82"/>
      <c r="L34" s="82"/>
      <c r="M34" s="82"/>
      <c r="N34" s="82"/>
      <c r="O34" s="82"/>
      <c r="P34" s="101"/>
      <c r="Q34" s="101"/>
      <c r="R34" s="82"/>
      <c r="S34" s="82"/>
      <c r="T34" s="82"/>
      <c r="U34" s="82"/>
      <c r="V34" s="82"/>
      <c r="W34" s="82"/>
      <c r="X34" s="82"/>
      <c r="Y34" s="90"/>
      <c r="Z34" s="90"/>
      <c r="AA34" s="90"/>
    </row>
    <row r="35" spans="1:27" ht="13.5" hidden="1" customHeight="1">
      <c r="A35" s="84" t="s">
        <v>129</v>
      </c>
      <c r="B35" s="212" t="s">
        <v>119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4"/>
    </row>
    <row r="36" spans="1:27" hidden="1">
      <c r="A36" s="85"/>
      <c r="B36" s="85"/>
      <c r="C36" s="85"/>
      <c r="D36" s="85"/>
      <c r="E36" s="96" t="s">
        <v>116</v>
      </c>
      <c r="F36" s="96" t="s">
        <v>116</v>
      </c>
      <c r="G36" s="96" t="s">
        <v>116</v>
      </c>
      <c r="H36" s="96" t="s">
        <v>116</v>
      </c>
      <c r="I36" s="96" t="s">
        <v>116</v>
      </c>
      <c r="J36" s="96" t="s">
        <v>116</v>
      </c>
      <c r="K36" s="96" t="s">
        <v>116</v>
      </c>
      <c r="L36" s="96" t="s">
        <v>116</v>
      </c>
      <c r="M36" s="96" t="s">
        <v>116</v>
      </c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98"/>
      <c r="Z36" s="98"/>
      <c r="AA36" s="98"/>
    </row>
    <row r="37" spans="1:27" ht="10.5" hidden="1" customHeight="1">
      <c r="A37" s="209" t="s">
        <v>130</v>
      </c>
      <c r="B37" s="210"/>
      <c r="C37" s="211"/>
      <c r="D37" s="82"/>
      <c r="E37" s="82" t="s">
        <v>116</v>
      </c>
      <c r="F37" s="82" t="s">
        <v>116</v>
      </c>
      <c r="G37" s="82"/>
      <c r="H37" s="82"/>
      <c r="I37" s="82"/>
      <c r="J37" s="82"/>
      <c r="K37" s="82"/>
      <c r="L37" s="82"/>
      <c r="M37" s="82"/>
      <c r="N37" s="82"/>
      <c r="O37" s="82"/>
      <c r="P37" s="101"/>
      <c r="Q37" s="101"/>
      <c r="R37" s="82"/>
      <c r="S37" s="82"/>
      <c r="T37" s="82"/>
      <c r="U37" s="82"/>
      <c r="V37" s="82"/>
      <c r="W37" s="82"/>
      <c r="X37" s="82"/>
      <c r="Y37" s="90"/>
      <c r="Z37" s="90"/>
      <c r="AA37" s="90"/>
    </row>
    <row r="38" spans="1:27" ht="15" hidden="1" customHeight="1">
      <c r="A38" s="82" t="s">
        <v>131</v>
      </c>
      <c r="B38" s="212" t="s">
        <v>132</v>
      </c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4"/>
    </row>
    <row r="39" spans="1:27" hidden="1">
      <c r="A39" s="85"/>
      <c r="B39" s="85"/>
      <c r="C39" s="85"/>
      <c r="D39" s="85"/>
      <c r="E39" s="96" t="s">
        <v>116</v>
      </c>
      <c r="F39" s="96" t="s">
        <v>116</v>
      </c>
      <c r="G39" s="96" t="s">
        <v>116</v>
      </c>
      <c r="H39" s="96" t="s">
        <v>116</v>
      </c>
      <c r="I39" s="96" t="s">
        <v>116</v>
      </c>
      <c r="J39" s="96" t="s">
        <v>116</v>
      </c>
      <c r="K39" s="96" t="s">
        <v>116</v>
      </c>
      <c r="L39" s="96" t="s">
        <v>116</v>
      </c>
      <c r="M39" s="96" t="s">
        <v>116</v>
      </c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98"/>
      <c r="Z39" s="98"/>
      <c r="AA39" s="98"/>
    </row>
    <row r="40" spans="1:27" ht="10.5" hidden="1" customHeight="1">
      <c r="A40" s="209" t="s">
        <v>133</v>
      </c>
      <c r="B40" s="210"/>
      <c r="C40" s="211"/>
      <c r="D40" s="82"/>
      <c r="E40" s="82" t="s">
        <v>116</v>
      </c>
      <c r="F40" s="82" t="s">
        <v>116</v>
      </c>
      <c r="G40" s="82"/>
      <c r="H40" s="82"/>
      <c r="I40" s="82"/>
      <c r="J40" s="82"/>
      <c r="K40" s="82"/>
      <c r="L40" s="82"/>
      <c r="M40" s="82"/>
      <c r="N40" s="82"/>
      <c r="O40" s="82"/>
      <c r="P40" s="101"/>
      <c r="Q40" s="101"/>
      <c r="R40" s="82"/>
      <c r="S40" s="82"/>
      <c r="T40" s="82"/>
      <c r="U40" s="82"/>
      <c r="V40" s="82"/>
      <c r="W40" s="82"/>
      <c r="X40" s="82"/>
      <c r="Y40" s="90"/>
      <c r="Z40" s="90"/>
      <c r="AA40" s="90"/>
    </row>
    <row r="41" spans="1:27" ht="15.6" hidden="1">
      <c r="A41" s="90"/>
      <c r="B41" s="90"/>
      <c r="C41" s="66"/>
      <c r="D41" s="66"/>
      <c r="E41" s="66"/>
      <c r="F41" s="66"/>
      <c r="G41" s="66"/>
      <c r="H41" s="66"/>
      <c r="I41" s="66"/>
      <c r="J41" s="66"/>
      <c r="K41" s="103">
        <v>2</v>
      </c>
      <c r="L41" s="66"/>
      <c r="M41" s="66"/>
      <c r="N41" s="66"/>
      <c r="O41" s="225" t="s">
        <v>134</v>
      </c>
      <c r="P41" s="225"/>
      <c r="Q41" s="225"/>
      <c r="R41" s="225"/>
      <c r="S41" s="225"/>
      <c r="T41" s="225"/>
      <c r="U41" s="225"/>
      <c r="V41" s="225"/>
      <c r="W41" s="225"/>
      <c r="X41" s="225"/>
    </row>
    <row r="42" spans="1:27" hidden="1">
      <c r="A42" s="85">
        <v>1</v>
      </c>
      <c r="B42" s="85">
        <v>2</v>
      </c>
      <c r="C42" s="85">
        <v>3</v>
      </c>
      <c r="D42" s="85">
        <v>4</v>
      </c>
      <c r="E42" s="85">
        <v>5</v>
      </c>
      <c r="F42" s="85">
        <v>6</v>
      </c>
      <c r="G42" s="86">
        <v>7</v>
      </c>
      <c r="H42" s="85">
        <v>8</v>
      </c>
      <c r="I42" s="85">
        <v>9</v>
      </c>
      <c r="J42" s="85">
        <v>10</v>
      </c>
      <c r="K42" s="87">
        <v>11</v>
      </c>
      <c r="L42" s="87">
        <v>12</v>
      </c>
      <c r="M42" s="87">
        <v>13</v>
      </c>
      <c r="N42" s="88">
        <v>14</v>
      </c>
      <c r="O42" s="88">
        <v>15</v>
      </c>
      <c r="P42" s="88">
        <v>16</v>
      </c>
      <c r="Q42" s="88">
        <v>17</v>
      </c>
      <c r="R42" s="88">
        <v>18</v>
      </c>
      <c r="S42" s="88">
        <v>19</v>
      </c>
      <c r="T42" s="88">
        <v>20</v>
      </c>
      <c r="U42" s="88">
        <v>21</v>
      </c>
      <c r="V42" s="88">
        <v>22</v>
      </c>
      <c r="W42" s="88">
        <v>23</v>
      </c>
      <c r="X42" s="88">
        <v>24</v>
      </c>
    </row>
    <row r="43" spans="1:27" ht="16.5" hidden="1" customHeight="1">
      <c r="A43" s="84" t="s">
        <v>135</v>
      </c>
      <c r="B43" s="212" t="s">
        <v>136</v>
      </c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4"/>
    </row>
    <row r="44" spans="1:27" hidden="1">
      <c r="A44" s="85"/>
      <c r="B44" s="85"/>
      <c r="C44" s="85"/>
      <c r="D44" s="85"/>
      <c r="E44" s="96" t="s">
        <v>116</v>
      </c>
      <c r="F44" s="96" t="s">
        <v>116</v>
      </c>
      <c r="G44" s="96" t="s">
        <v>116</v>
      </c>
      <c r="H44" s="96" t="s">
        <v>116</v>
      </c>
      <c r="I44" s="96" t="s">
        <v>116</v>
      </c>
      <c r="J44" s="96" t="s">
        <v>116</v>
      </c>
      <c r="K44" s="96" t="s">
        <v>116</v>
      </c>
      <c r="L44" s="96" t="s">
        <v>116</v>
      </c>
      <c r="M44" s="96" t="s">
        <v>116</v>
      </c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98"/>
      <c r="Z44" s="98"/>
      <c r="AA44" s="98"/>
    </row>
    <row r="45" spans="1:27" ht="15" hidden="1" customHeight="1">
      <c r="A45" s="209" t="s">
        <v>137</v>
      </c>
      <c r="B45" s="210"/>
      <c r="C45" s="211"/>
      <c r="D45" s="82"/>
      <c r="E45" s="82" t="s">
        <v>116</v>
      </c>
      <c r="F45" s="82" t="s">
        <v>116</v>
      </c>
      <c r="G45" s="82"/>
      <c r="H45" s="82"/>
      <c r="I45" s="82"/>
      <c r="J45" s="82"/>
      <c r="K45" s="82"/>
      <c r="L45" s="82"/>
      <c r="M45" s="82"/>
      <c r="N45" s="82"/>
      <c r="O45" s="82"/>
      <c r="P45" s="101"/>
      <c r="Q45" s="101"/>
      <c r="R45" s="82"/>
      <c r="S45" s="82"/>
      <c r="T45" s="82"/>
      <c r="U45" s="82"/>
      <c r="V45" s="82"/>
      <c r="W45" s="82"/>
      <c r="X45" s="82"/>
      <c r="Y45" s="90"/>
      <c r="Z45" s="90"/>
      <c r="AA45" s="90"/>
    </row>
    <row r="46" spans="1:27" ht="14.25" hidden="1" customHeight="1">
      <c r="A46" s="82" t="s">
        <v>138</v>
      </c>
      <c r="B46" s="209" t="s">
        <v>122</v>
      </c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1"/>
      <c r="Y46" s="90"/>
      <c r="Z46" s="90"/>
      <c r="AA46" s="90"/>
    </row>
    <row r="47" spans="1:27" hidden="1">
      <c r="A47" s="85"/>
      <c r="B47" s="85"/>
      <c r="C47" s="85"/>
      <c r="D47" s="85"/>
      <c r="E47" s="96" t="s">
        <v>116</v>
      </c>
      <c r="F47" s="96" t="s">
        <v>116</v>
      </c>
      <c r="G47" s="96" t="s">
        <v>116</v>
      </c>
      <c r="H47" s="96" t="s">
        <v>116</v>
      </c>
      <c r="I47" s="96" t="s">
        <v>116</v>
      </c>
      <c r="J47" s="96" t="s">
        <v>116</v>
      </c>
      <c r="K47" s="96" t="s">
        <v>116</v>
      </c>
      <c r="L47" s="96" t="s">
        <v>116</v>
      </c>
      <c r="M47" s="96" t="s">
        <v>116</v>
      </c>
      <c r="N47" s="85"/>
      <c r="O47" s="85"/>
      <c r="P47" s="97"/>
      <c r="Q47" s="97"/>
      <c r="R47" s="85"/>
      <c r="S47" s="85"/>
      <c r="T47" s="85"/>
      <c r="U47" s="85"/>
      <c r="V47" s="85"/>
      <c r="W47" s="85"/>
      <c r="X47" s="85"/>
      <c r="Y47" s="98"/>
      <c r="Z47" s="98"/>
      <c r="AA47" s="98"/>
    </row>
    <row r="48" spans="1:27" ht="12.75" hidden="1" customHeight="1">
      <c r="A48" s="209" t="s">
        <v>139</v>
      </c>
      <c r="B48" s="210"/>
      <c r="C48" s="211"/>
      <c r="D48" s="82"/>
      <c r="E48" s="82" t="s">
        <v>116</v>
      </c>
      <c r="F48" s="82" t="s">
        <v>116</v>
      </c>
      <c r="G48" s="82"/>
      <c r="H48" s="82"/>
      <c r="I48" s="82"/>
      <c r="J48" s="82"/>
      <c r="K48" s="82"/>
      <c r="L48" s="82"/>
      <c r="M48" s="82"/>
      <c r="N48" s="82"/>
      <c r="O48" s="82"/>
      <c r="P48" s="101"/>
      <c r="Q48" s="101"/>
      <c r="R48" s="82"/>
      <c r="S48" s="82"/>
      <c r="T48" s="82"/>
      <c r="U48" s="82"/>
      <c r="V48" s="82"/>
      <c r="W48" s="82"/>
      <c r="X48" s="82"/>
      <c r="Y48" s="90"/>
      <c r="Z48" s="90"/>
      <c r="AA48" s="90"/>
    </row>
    <row r="49" spans="1:27" ht="12" hidden="1" customHeight="1">
      <c r="A49" s="209" t="s">
        <v>140</v>
      </c>
      <c r="B49" s="210"/>
      <c r="C49" s="211"/>
      <c r="D49" s="82"/>
      <c r="E49" s="82" t="s">
        <v>116</v>
      </c>
      <c r="F49" s="82" t="s">
        <v>116</v>
      </c>
      <c r="G49" s="82"/>
      <c r="H49" s="82"/>
      <c r="I49" s="82"/>
      <c r="J49" s="82"/>
      <c r="K49" s="82"/>
      <c r="L49" s="82"/>
      <c r="M49" s="82"/>
      <c r="N49" s="82"/>
      <c r="O49" s="82"/>
      <c r="P49" s="101"/>
      <c r="Q49" s="101"/>
      <c r="R49" s="82"/>
      <c r="S49" s="82"/>
      <c r="T49" s="82"/>
      <c r="U49" s="82"/>
      <c r="V49" s="82"/>
      <c r="W49" s="82"/>
      <c r="X49" s="82"/>
      <c r="Y49" s="90"/>
      <c r="Z49" s="90"/>
      <c r="AA49" s="90"/>
    </row>
    <row r="50" spans="1:27" hidden="1">
      <c r="A50" s="215" t="s">
        <v>141</v>
      </c>
      <c r="B50" s="216"/>
      <c r="C50" s="217"/>
      <c r="D50" s="85"/>
      <c r="E50" s="85" t="s">
        <v>116</v>
      </c>
      <c r="F50" s="85" t="s">
        <v>116</v>
      </c>
      <c r="G50" s="85"/>
      <c r="H50" s="85"/>
      <c r="I50" s="85"/>
      <c r="J50" s="85"/>
      <c r="K50" s="85"/>
      <c r="L50" s="85"/>
      <c r="M50" s="85"/>
      <c r="N50" s="85"/>
      <c r="O50" s="85"/>
      <c r="P50" s="97"/>
      <c r="Q50" s="97"/>
      <c r="R50" s="85"/>
      <c r="S50" s="85"/>
      <c r="T50" s="85"/>
      <c r="U50" s="85"/>
      <c r="V50" s="85"/>
      <c r="W50" s="85"/>
      <c r="X50" s="85"/>
      <c r="Y50" s="98"/>
      <c r="Z50" s="98"/>
      <c r="AA50" s="98"/>
    </row>
    <row r="51" spans="1:27">
      <c r="A51" s="85" t="s">
        <v>142</v>
      </c>
      <c r="B51" s="215" t="s">
        <v>143</v>
      </c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7"/>
      <c r="Y51" s="98"/>
      <c r="Z51" s="98"/>
      <c r="AA51" s="98"/>
    </row>
    <row r="52" spans="1:27">
      <c r="A52" s="92" t="s">
        <v>144</v>
      </c>
      <c r="B52" s="215" t="s">
        <v>145</v>
      </c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7"/>
      <c r="Y52" s="95"/>
      <c r="Z52" s="95"/>
      <c r="AA52" s="95"/>
    </row>
    <row r="53" spans="1:27" ht="15" customHeight="1">
      <c r="A53" s="94" t="s">
        <v>146</v>
      </c>
      <c r="B53" s="212" t="s">
        <v>115</v>
      </c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4"/>
      <c r="Y53" s="95"/>
      <c r="Z53" s="95"/>
      <c r="AA53" s="95"/>
    </row>
    <row r="54" spans="1:27" hidden="1">
      <c r="A54" s="85"/>
      <c r="B54" s="85"/>
      <c r="C54" s="85"/>
      <c r="D54" s="85"/>
      <c r="E54" s="96" t="s">
        <v>116</v>
      </c>
      <c r="F54" s="96" t="s">
        <v>116</v>
      </c>
      <c r="G54" s="96" t="s">
        <v>116</v>
      </c>
      <c r="H54" s="96" t="s">
        <v>116</v>
      </c>
      <c r="I54" s="96" t="s">
        <v>116</v>
      </c>
      <c r="J54" s="96" t="s">
        <v>116</v>
      </c>
      <c r="K54" s="96" t="s">
        <v>116</v>
      </c>
      <c r="L54" s="96" t="s">
        <v>116</v>
      </c>
      <c r="M54" s="96" t="s">
        <v>116</v>
      </c>
      <c r="N54" s="85"/>
      <c r="O54" s="85"/>
      <c r="P54" s="97"/>
      <c r="Q54" s="97"/>
      <c r="R54" s="85"/>
      <c r="S54" s="85"/>
      <c r="T54" s="85"/>
      <c r="U54" s="85"/>
      <c r="V54" s="85"/>
      <c r="W54" s="85"/>
      <c r="X54" s="85"/>
      <c r="Y54" s="98"/>
      <c r="Z54" s="98"/>
      <c r="AA54" s="98"/>
    </row>
    <row r="55" spans="1:27" ht="12" hidden="1" customHeight="1">
      <c r="A55" s="209" t="s">
        <v>147</v>
      </c>
      <c r="B55" s="210"/>
      <c r="C55" s="211"/>
      <c r="D55" s="82"/>
      <c r="E55" s="82" t="s">
        <v>116</v>
      </c>
      <c r="F55" s="82" t="s">
        <v>116</v>
      </c>
      <c r="G55" s="82"/>
      <c r="H55" s="82"/>
      <c r="I55" s="82"/>
      <c r="J55" s="82"/>
      <c r="K55" s="82"/>
      <c r="L55" s="82"/>
      <c r="M55" s="82"/>
      <c r="N55" s="82"/>
      <c r="O55" s="82"/>
      <c r="P55" s="101"/>
      <c r="Q55" s="101"/>
      <c r="R55" s="82"/>
      <c r="S55" s="82"/>
      <c r="T55" s="82"/>
      <c r="U55" s="82"/>
      <c r="V55" s="82"/>
      <c r="W55" s="82"/>
      <c r="X55" s="82"/>
      <c r="Y55" s="90"/>
      <c r="Z55" s="90"/>
      <c r="AA55" s="90"/>
    </row>
    <row r="56" spans="1:27" ht="15.75" hidden="1" customHeight="1">
      <c r="A56" s="82" t="s">
        <v>148</v>
      </c>
      <c r="B56" s="212" t="s">
        <v>119</v>
      </c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4"/>
      <c r="Y56" s="100"/>
      <c r="Z56" s="100"/>
      <c r="AA56" s="100"/>
    </row>
    <row r="57" spans="1:27" ht="146.25" customHeight="1">
      <c r="A57" s="85" t="s">
        <v>213</v>
      </c>
      <c r="B57" s="104" t="s">
        <v>149</v>
      </c>
      <c r="C57" s="142" t="s">
        <v>150</v>
      </c>
      <c r="D57" s="140">
        <v>6043.5940000000001</v>
      </c>
      <c r="E57" s="133">
        <v>0</v>
      </c>
      <c r="F57" s="133">
        <v>0</v>
      </c>
      <c r="G57" s="141">
        <v>6043.5940000000001</v>
      </c>
      <c r="H57" s="133">
        <v>48</v>
      </c>
      <c r="I57" s="133">
        <v>0</v>
      </c>
      <c r="J57" s="133">
        <v>0</v>
      </c>
      <c r="K57" s="133">
        <v>0</v>
      </c>
      <c r="L57" s="133">
        <v>0</v>
      </c>
      <c r="M57" s="133">
        <v>0</v>
      </c>
      <c r="N57" s="138">
        <v>0</v>
      </c>
      <c r="O57" s="138">
        <v>0</v>
      </c>
      <c r="P57" s="138">
        <v>371.91</v>
      </c>
      <c r="Q57" s="138">
        <v>0</v>
      </c>
      <c r="R57" s="139" t="s">
        <v>220</v>
      </c>
      <c r="S57" s="139" t="s">
        <v>221</v>
      </c>
      <c r="T57" s="85">
        <v>48</v>
      </c>
      <c r="U57" s="85"/>
      <c r="V57" s="106"/>
      <c r="W57" s="85"/>
      <c r="X57" s="85">
        <v>371.91300000000001</v>
      </c>
      <c r="Y57" s="98"/>
      <c r="Z57" s="98"/>
      <c r="AA57" s="98"/>
    </row>
    <row r="58" spans="1:27" ht="13.5" customHeight="1">
      <c r="A58" s="209" t="s">
        <v>147</v>
      </c>
      <c r="B58" s="210"/>
      <c r="C58" s="211"/>
      <c r="D58" s="82">
        <v>6043.5940000000001</v>
      </c>
      <c r="E58" s="82">
        <v>1487.6510000000001</v>
      </c>
      <c r="F58" s="82">
        <v>0</v>
      </c>
      <c r="G58" s="82">
        <v>6043.5940000000001</v>
      </c>
      <c r="H58" s="82">
        <v>48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  <c r="N58" s="82">
        <v>0</v>
      </c>
      <c r="O58" s="85">
        <v>0</v>
      </c>
      <c r="P58" s="101">
        <v>371.9</v>
      </c>
      <c r="Q58" s="82">
        <v>0</v>
      </c>
      <c r="R58" s="82"/>
      <c r="S58" s="85"/>
      <c r="T58" s="82">
        <v>48</v>
      </c>
      <c r="U58" s="82"/>
      <c r="V58" s="106"/>
      <c r="W58" s="85"/>
      <c r="X58" s="85">
        <v>371.91300000000001</v>
      </c>
      <c r="Y58" s="90"/>
      <c r="Z58" s="90"/>
      <c r="AA58" s="90"/>
    </row>
    <row r="59" spans="1:27" hidden="1">
      <c r="A59" s="92" t="s">
        <v>151</v>
      </c>
      <c r="B59" s="209" t="s">
        <v>122</v>
      </c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1"/>
      <c r="Y59" s="100"/>
      <c r="Z59" s="100"/>
      <c r="AA59" s="100"/>
    </row>
    <row r="60" spans="1:27" hidden="1">
      <c r="A60" s="85"/>
      <c r="B60" s="85"/>
      <c r="C60" s="85"/>
      <c r="D60" s="85"/>
      <c r="E60" s="96" t="s">
        <v>116</v>
      </c>
      <c r="F60" s="96" t="s">
        <v>116</v>
      </c>
      <c r="G60" s="96" t="s">
        <v>116</v>
      </c>
      <c r="H60" s="96" t="s">
        <v>116</v>
      </c>
      <c r="I60" s="96" t="s">
        <v>116</v>
      </c>
      <c r="J60" s="96" t="s">
        <v>116</v>
      </c>
      <c r="K60" s="96" t="s">
        <v>116</v>
      </c>
      <c r="L60" s="96" t="s">
        <v>116</v>
      </c>
      <c r="M60" s="96" t="s">
        <v>116</v>
      </c>
      <c r="N60" s="85"/>
      <c r="O60" s="85"/>
      <c r="P60" s="97"/>
      <c r="Q60" s="97"/>
      <c r="R60" s="85"/>
      <c r="S60" s="85"/>
      <c r="T60" s="85"/>
      <c r="U60" s="85"/>
      <c r="V60" s="85"/>
      <c r="W60" s="85"/>
      <c r="X60" s="85"/>
      <c r="Y60" s="98"/>
      <c r="Z60" s="98"/>
      <c r="AA60" s="98"/>
    </row>
    <row r="61" spans="1:27" ht="12" customHeight="1">
      <c r="A61" s="209" t="s">
        <v>152</v>
      </c>
      <c r="B61" s="210"/>
      <c r="C61" s="211"/>
      <c r="D61" s="82">
        <v>6043.5940000000001</v>
      </c>
      <c r="E61" s="82">
        <v>1487.6510000000001</v>
      </c>
      <c r="F61" s="82">
        <v>0</v>
      </c>
      <c r="G61" s="82">
        <v>6043.5940000000001</v>
      </c>
      <c r="H61" s="82">
        <v>48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2">
        <v>0</v>
      </c>
      <c r="O61" s="85">
        <v>0</v>
      </c>
      <c r="P61" s="101">
        <v>371.9</v>
      </c>
      <c r="Q61" s="82">
        <v>0</v>
      </c>
      <c r="R61" s="82"/>
      <c r="S61" s="85"/>
      <c r="T61" s="82">
        <v>48</v>
      </c>
      <c r="U61" s="82"/>
      <c r="V61" s="106"/>
      <c r="W61" s="106"/>
      <c r="X61" s="107">
        <v>371.91300000000001</v>
      </c>
      <c r="Y61" s="90"/>
      <c r="Z61" s="90"/>
      <c r="AA61" s="90"/>
    </row>
    <row r="62" spans="1:27" ht="18" customHeight="1">
      <c r="A62" s="92" t="s">
        <v>153</v>
      </c>
      <c r="B62" s="218" t="s">
        <v>126</v>
      </c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20"/>
      <c r="Y62" s="100"/>
      <c r="Z62" s="100"/>
      <c r="AA62" s="100"/>
    </row>
    <row r="63" spans="1:27" ht="15.75" customHeight="1">
      <c r="A63" s="85"/>
      <c r="B63" s="108"/>
      <c r="C63" s="109"/>
      <c r="D63" s="110"/>
      <c r="E63" s="96"/>
      <c r="F63" s="96"/>
      <c r="G63" s="96"/>
      <c r="H63" s="96"/>
      <c r="I63" s="96"/>
      <c r="J63" s="96"/>
      <c r="K63" s="96"/>
      <c r="L63" s="96"/>
      <c r="M63" s="96"/>
      <c r="N63" s="110"/>
      <c r="O63" s="85"/>
      <c r="P63" s="97"/>
      <c r="Q63" s="97"/>
      <c r="R63" s="85"/>
      <c r="S63" s="110"/>
      <c r="T63" s="85"/>
      <c r="U63" s="85"/>
      <c r="V63" s="85"/>
      <c r="W63" s="85"/>
      <c r="X63" s="85"/>
      <c r="Y63" s="98"/>
      <c r="Z63" s="98"/>
      <c r="AA63" s="98"/>
    </row>
    <row r="64" spans="1:27" ht="18" customHeight="1">
      <c r="A64" s="234" t="s">
        <v>161</v>
      </c>
      <c r="B64" s="235"/>
      <c r="C64" s="236"/>
      <c r="D64" s="110">
        <v>6043.5940000000001</v>
      </c>
      <c r="E64" s="85">
        <v>1487.6510000000001</v>
      </c>
      <c r="F64" s="82">
        <v>0</v>
      </c>
      <c r="G64" s="85">
        <v>6043.5940000000001</v>
      </c>
      <c r="H64" s="85">
        <v>48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110">
        <v>0</v>
      </c>
      <c r="O64" s="85">
        <v>0</v>
      </c>
      <c r="P64" s="85">
        <v>371.9</v>
      </c>
      <c r="Q64" s="85">
        <v>0</v>
      </c>
      <c r="R64" s="85" t="s">
        <v>155</v>
      </c>
      <c r="S64" s="110" t="s">
        <v>155</v>
      </c>
      <c r="T64" s="82"/>
      <c r="U64" s="82"/>
      <c r="V64" s="82"/>
      <c r="W64" s="82"/>
      <c r="X64" s="82"/>
      <c r="Y64" s="90"/>
      <c r="Z64" s="90"/>
      <c r="AA64" s="90"/>
    </row>
    <row r="65" spans="1:27" ht="20.25" customHeight="1">
      <c r="A65" s="84" t="s">
        <v>162</v>
      </c>
      <c r="B65" s="212" t="s">
        <v>214</v>
      </c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4"/>
    </row>
    <row r="66" spans="1:27">
      <c r="A66" s="85"/>
      <c r="B66" s="85"/>
      <c r="C66" s="85"/>
      <c r="D66" s="85" t="s">
        <v>155</v>
      </c>
      <c r="E66" s="96" t="s">
        <v>116</v>
      </c>
      <c r="F66" s="96" t="s">
        <v>116</v>
      </c>
      <c r="G66" s="96" t="s">
        <v>116</v>
      </c>
      <c r="H66" s="96" t="s">
        <v>116</v>
      </c>
      <c r="I66" s="96" t="s">
        <v>116</v>
      </c>
      <c r="J66" s="96" t="s">
        <v>116</v>
      </c>
      <c r="K66" s="96" t="s">
        <v>116</v>
      </c>
      <c r="L66" s="96" t="s">
        <v>116</v>
      </c>
      <c r="M66" s="96" t="s">
        <v>116</v>
      </c>
      <c r="N66" s="85" t="s">
        <v>155</v>
      </c>
      <c r="O66" s="85" t="s">
        <v>155</v>
      </c>
      <c r="P66" s="85" t="s">
        <v>155</v>
      </c>
      <c r="Q66" s="85" t="s">
        <v>155</v>
      </c>
      <c r="R66" s="85" t="s">
        <v>155</v>
      </c>
      <c r="S66" s="85" t="s">
        <v>155</v>
      </c>
      <c r="T66" s="85"/>
      <c r="U66" s="85"/>
      <c r="V66" s="85"/>
      <c r="W66" s="85"/>
      <c r="X66" s="85"/>
      <c r="Y66" s="98"/>
      <c r="Z66" s="98"/>
      <c r="AA66" s="98"/>
    </row>
    <row r="67" spans="1:27" ht="13.5" customHeight="1">
      <c r="A67" s="228" t="s">
        <v>185</v>
      </c>
      <c r="B67" s="229"/>
      <c r="C67" s="230"/>
      <c r="D67" s="82" t="s">
        <v>222</v>
      </c>
      <c r="E67" s="82" t="s">
        <v>222</v>
      </c>
      <c r="F67" s="82" t="s">
        <v>222</v>
      </c>
      <c r="G67" s="82" t="s">
        <v>222</v>
      </c>
      <c r="H67" s="82" t="s">
        <v>222</v>
      </c>
      <c r="I67" s="82" t="s">
        <v>222</v>
      </c>
      <c r="J67" s="82" t="s">
        <v>222</v>
      </c>
      <c r="K67" s="82" t="s">
        <v>222</v>
      </c>
      <c r="L67" s="82" t="s">
        <v>222</v>
      </c>
      <c r="M67" s="82" t="s">
        <v>222</v>
      </c>
      <c r="N67" s="82" t="s">
        <v>222</v>
      </c>
      <c r="O67" s="82" t="s">
        <v>222</v>
      </c>
      <c r="P67" s="82" t="s">
        <v>222</v>
      </c>
      <c r="Q67" s="82" t="s">
        <v>222</v>
      </c>
      <c r="R67" s="82" t="s">
        <v>155</v>
      </c>
      <c r="S67" s="82" t="s">
        <v>155</v>
      </c>
      <c r="T67" s="82"/>
      <c r="U67" s="82"/>
      <c r="V67" s="82"/>
      <c r="W67" s="82"/>
      <c r="X67" s="82"/>
      <c r="Y67" s="90"/>
      <c r="Z67" s="90"/>
      <c r="AA67" s="90"/>
    </row>
    <row r="68" spans="1:27" ht="17.25" customHeight="1">
      <c r="A68" s="215" t="s">
        <v>186</v>
      </c>
      <c r="B68" s="216"/>
      <c r="C68" s="217"/>
      <c r="D68" s="85">
        <v>6043.5940000000001</v>
      </c>
      <c r="E68" s="137">
        <v>1487.6510000000001</v>
      </c>
      <c r="F68" s="96">
        <v>0</v>
      </c>
      <c r="G68" s="137">
        <v>6043.5940000000001</v>
      </c>
      <c r="H68" s="96">
        <v>48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85">
        <v>0</v>
      </c>
      <c r="O68" s="85">
        <v>0</v>
      </c>
      <c r="P68" s="97">
        <v>371.9</v>
      </c>
      <c r="Q68" s="85">
        <v>0</v>
      </c>
      <c r="R68" s="85" t="s">
        <v>155</v>
      </c>
      <c r="S68" s="85" t="s">
        <v>155</v>
      </c>
      <c r="T68" s="85"/>
      <c r="U68" s="85"/>
      <c r="V68" s="85"/>
      <c r="W68" s="85"/>
      <c r="X68" s="85"/>
      <c r="Y68" s="98"/>
      <c r="Z68" s="98"/>
      <c r="AA68" s="98"/>
    </row>
    <row r="69" spans="1:27" ht="13.5" hidden="1" customHeight="1">
      <c r="A69" s="223" t="s">
        <v>154</v>
      </c>
      <c r="B69" s="223"/>
      <c r="C69" s="223"/>
      <c r="D69" s="82"/>
      <c r="E69" s="82" t="s">
        <v>155</v>
      </c>
      <c r="F69" s="82" t="s">
        <v>155</v>
      </c>
      <c r="G69" s="82"/>
      <c r="H69" s="82"/>
      <c r="I69" s="82"/>
      <c r="J69" s="82"/>
      <c r="K69" s="82"/>
      <c r="L69" s="82"/>
      <c r="M69" s="82"/>
      <c r="N69" s="82"/>
      <c r="O69" s="82"/>
      <c r="P69" s="101"/>
      <c r="Q69" s="101"/>
      <c r="R69" s="82"/>
      <c r="S69" s="82"/>
      <c r="T69" s="82"/>
      <c r="U69" s="82"/>
      <c r="V69" s="82"/>
      <c r="W69" s="82"/>
      <c r="X69" s="82"/>
      <c r="Y69" s="90"/>
      <c r="Z69" s="90"/>
      <c r="AA69" s="90"/>
    </row>
    <row r="70" spans="1:27" hidden="1">
      <c r="A70" s="84"/>
      <c r="B70" s="84"/>
      <c r="C70" s="84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82"/>
      <c r="O70" s="82"/>
      <c r="P70" s="101"/>
      <c r="Q70" s="101"/>
      <c r="R70" s="82"/>
      <c r="S70" s="112"/>
      <c r="T70" s="111"/>
      <c r="U70" s="111"/>
      <c r="V70" s="111"/>
      <c r="W70" s="111"/>
      <c r="X70" s="111"/>
    </row>
    <row r="71" spans="1:27" ht="15" hidden="1" customHeight="1">
      <c r="A71" s="84" t="s">
        <v>156</v>
      </c>
      <c r="B71" s="212" t="s">
        <v>136</v>
      </c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4"/>
    </row>
    <row r="72" spans="1:27" hidden="1">
      <c r="A72" s="85"/>
      <c r="B72" s="85"/>
      <c r="C72" s="85"/>
      <c r="D72" s="85"/>
      <c r="E72" s="96" t="s">
        <v>116</v>
      </c>
      <c r="F72" s="96" t="s">
        <v>116</v>
      </c>
      <c r="G72" s="96" t="s">
        <v>116</v>
      </c>
      <c r="H72" s="96" t="s">
        <v>116</v>
      </c>
      <c r="I72" s="96" t="s">
        <v>116</v>
      </c>
      <c r="J72" s="96" t="s">
        <v>116</v>
      </c>
      <c r="K72" s="96" t="s">
        <v>116</v>
      </c>
      <c r="L72" s="96" t="s">
        <v>116</v>
      </c>
      <c r="M72" s="96" t="s">
        <v>116</v>
      </c>
      <c r="N72" s="85"/>
      <c r="O72" s="85"/>
      <c r="P72" s="97"/>
      <c r="Q72" s="97"/>
      <c r="R72" s="85"/>
      <c r="S72" s="85"/>
      <c r="T72" s="85"/>
      <c r="U72" s="85"/>
      <c r="V72" s="85"/>
      <c r="W72" s="85"/>
      <c r="X72" s="85"/>
      <c r="Y72" s="98"/>
      <c r="Z72" s="98"/>
      <c r="AA72" s="98"/>
    </row>
    <row r="73" spans="1:27" ht="12.75" hidden="1" customHeight="1">
      <c r="A73" s="209" t="s">
        <v>157</v>
      </c>
      <c r="B73" s="210"/>
      <c r="C73" s="211"/>
      <c r="D73" s="82"/>
      <c r="E73" s="82" t="s">
        <v>116</v>
      </c>
      <c r="F73" s="82" t="s">
        <v>116</v>
      </c>
      <c r="G73" s="82"/>
      <c r="H73" s="82"/>
      <c r="I73" s="82"/>
      <c r="J73" s="82"/>
      <c r="K73" s="82"/>
      <c r="L73" s="82"/>
      <c r="M73" s="82"/>
      <c r="N73" s="82"/>
      <c r="O73" s="82"/>
      <c r="P73" s="101"/>
      <c r="Q73" s="101"/>
      <c r="R73" s="82"/>
      <c r="S73" s="82"/>
      <c r="T73" s="82"/>
      <c r="U73" s="82"/>
      <c r="V73" s="82"/>
      <c r="W73" s="82"/>
      <c r="X73" s="82"/>
      <c r="Y73" s="90"/>
      <c r="Z73" s="90"/>
      <c r="AA73" s="90"/>
    </row>
    <row r="74" spans="1:27" ht="15.75" hidden="1" customHeight="1">
      <c r="A74" s="82" t="s">
        <v>158</v>
      </c>
      <c r="B74" s="209" t="s">
        <v>122</v>
      </c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210"/>
      <c r="W74" s="210"/>
      <c r="X74" s="211"/>
      <c r="Y74" s="90"/>
      <c r="Z74" s="90"/>
      <c r="AA74" s="90"/>
    </row>
    <row r="75" spans="1:27" hidden="1">
      <c r="A75" s="85"/>
      <c r="B75" s="85"/>
      <c r="C75" s="85"/>
      <c r="D75" s="85"/>
      <c r="E75" s="96" t="s">
        <v>116</v>
      </c>
      <c r="F75" s="96" t="s">
        <v>116</v>
      </c>
      <c r="G75" s="96" t="s">
        <v>116</v>
      </c>
      <c r="H75" s="96" t="s">
        <v>116</v>
      </c>
      <c r="I75" s="96" t="s">
        <v>116</v>
      </c>
      <c r="J75" s="96" t="s">
        <v>116</v>
      </c>
      <c r="K75" s="96" t="s">
        <v>116</v>
      </c>
      <c r="L75" s="96" t="s">
        <v>116</v>
      </c>
      <c r="M75" s="96" t="s">
        <v>116</v>
      </c>
      <c r="N75" s="85"/>
      <c r="O75" s="85"/>
      <c r="P75" s="97"/>
      <c r="Q75" s="97"/>
      <c r="R75" s="85"/>
      <c r="S75" s="85"/>
      <c r="T75" s="85"/>
      <c r="U75" s="85"/>
      <c r="V75" s="85"/>
      <c r="W75" s="85"/>
      <c r="X75" s="85"/>
      <c r="Y75" s="98"/>
      <c r="Z75" s="98"/>
      <c r="AA75" s="98"/>
    </row>
    <row r="76" spans="1:27" ht="14.25" hidden="1" customHeight="1">
      <c r="A76" s="209" t="s">
        <v>159</v>
      </c>
      <c r="B76" s="210"/>
      <c r="C76" s="211"/>
      <c r="D76" s="82"/>
      <c r="E76" s="82" t="s">
        <v>116</v>
      </c>
      <c r="F76" s="82" t="s">
        <v>116</v>
      </c>
      <c r="G76" s="82"/>
      <c r="H76" s="82"/>
      <c r="I76" s="82"/>
      <c r="J76" s="82"/>
      <c r="K76" s="82"/>
      <c r="L76" s="82"/>
      <c r="M76" s="82"/>
      <c r="N76" s="82"/>
      <c r="O76" s="82"/>
      <c r="P76" s="101"/>
      <c r="Q76" s="101"/>
      <c r="R76" s="82"/>
      <c r="S76" s="82"/>
      <c r="T76" s="82"/>
      <c r="U76" s="82"/>
      <c r="V76" s="82"/>
      <c r="W76" s="82"/>
      <c r="X76" s="82"/>
      <c r="Y76" s="90"/>
      <c r="Z76" s="90"/>
      <c r="AA76" s="90"/>
    </row>
    <row r="77" spans="1:27" ht="14.25" hidden="1" customHeight="1">
      <c r="A77" s="209" t="s">
        <v>160</v>
      </c>
      <c r="B77" s="210"/>
      <c r="C77" s="211"/>
      <c r="D77" s="110"/>
      <c r="E77" s="82" t="s">
        <v>116</v>
      </c>
      <c r="F77" s="82" t="s">
        <v>116</v>
      </c>
      <c r="G77" s="82"/>
      <c r="H77" s="82"/>
      <c r="I77" s="82"/>
      <c r="J77" s="82"/>
      <c r="K77" s="82"/>
      <c r="L77" s="82"/>
      <c r="M77" s="82"/>
      <c r="N77" s="110"/>
      <c r="O77" s="85"/>
      <c r="P77" s="97"/>
      <c r="Q77" s="97"/>
      <c r="R77" s="85"/>
      <c r="S77" s="110"/>
      <c r="T77" s="82"/>
      <c r="U77" s="82"/>
      <c r="V77" s="82"/>
      <c r="W77" s="82"/>
      <c r="X77" s="82"/>
      <c r="Y77" s="90"/>
      <c r="Z77" s="90"/>
      <c r="AA77" s="90"/>
    </row>
    <row r="78" spans="1:27" hidden="1">
      <c r="A78" s="215" t="s">
        <v>161</v>
      </c>
      <c r="B78" s="216"/>
      <c r="C78" s="217"/>
      <c r="D78" s="85">
        <v>6043.5940000000001</v>
      </c>
      <c r="E78" s="82">
        <v>1487.6510000000001</v>
      </c>
      <c r="F78" s="82" t="s">
        <v>116</v>
      </c>
      <c r="G78" s="82"/>
      <c r="H78" s="82"/>
      <c r="I78" s="82"/>
      <c r="J78" s="82">
        <v>4555.9430000000002</v>
      </c>
      <c r="K78" s="82"/>
      <c r="L78" s="82"/>
      <c r="M78" s="82">
        <v>1487.6510000000001</v>
      </c>
      <c r="N78" s="82"/>
      <c r="O78" s="85">
        <v>6043.5940000000001</v>
      </c>
      <c r="P78" s="101"/>
      <c r="Q78" s="101"/>
      <c r="R78" s="82"/>
      <c r="S78" s="85">
        <v>6943.5940000000001</v>
      </c>
      <c r="T78" s="82">
        <v>48</v>
      </c>
      <c r="U78" s="82"/>
      <c r="V78" s="106"/>
      <c r="W78" s="110"/>
      <c r="X78" s="110">
        <v>371.91300000000001</v>
      </c>
      <c r="Y78" s="98"/>
      <c r="Z78" s="98"/>
      <c r="AA78" s="98"/>
    </row>
    <row r="79" spans="1:27" ht="17.399999999999999" hidden="1" customHeight="1">
      <c r="A79" s="85" t="s">
        <v>162</v>
      </c>
      <c r="B79" s="215" t="s">
        <v>163</v>
      </c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7"/>
      <c r="Y79" s="98"/>
      <c r="Z79" s="98"/>
      <c r="AA79" s="98"/>
    </row>
    <row r="80" spans="1:27" ht="15.6" hidden="1" customHeight="1">
      <c r="A80" s="92" t="s">
        <v>164</v>
      </c>
      <c r="B80" s="215" t="s">
        <v>165</v>
      </c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7"/>
      <c r="Y80" s="95"/>
      <c r="Z80" s="95"/>
      <c r="AA80" s="95"/>
    </row>
    <row r="81" spans="1:27" ht="15.75" hidden="1" customHeight="1">
      <c r="A81" s="94" t="s">
        <v>166</v>
      </c>
      <c r="B81" s="212" t="s">
        <v>115</v>
      </c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214"/>
      <c r="Y81" s="95"/>
      <c r="Z81" s="95"/>
      <c r="AA81" s="95"/>
    </row>
    <row r="82" spans="1:27" hidden="1">
      <c r="A82" s="85"/>
      <c r="B82" s="85"/>
      <c r="C82" s="85"/>
      <c r="D82" s="85"/>
      <c r="E82" s="96" t="s">
        <v>116</v>
      </c>
      <c r="F82" s="96" t="s">
        <v>116</v>
      </c>
      <c r="G82" s="96" t="s">
        <v>116</v>
      </c>
      <c r="H82" s="96" t="s">
        <v>116</v>
      </c>
      <c r="I82" s="96" t="s">
        <v>116</v>
      </c>
      <c r="J82" s="96" t="s">
        <v>116</v>
      </c>
      <c r="K82" s="96" t="s">
        <v>116</v>
      </c>
      <c r="L82" s="96" t="s">
        <v>116</v>
      </c>
      <c r="M82" s="96" t="s">
        <v>116</v>
      </c>
      <c r="N82" s="85"/>
      <c r="O82" s="85"/>
      <c r="P82" s="97"/>
      <c r="Q82" s="97"/>
      <c r="R82" s="85"/>
      <c r="S82" s="85"/>
      <c r="T82" s="85"/>
      <c r="U82" s="85"/>
      <c r="V82" s="85"/>
      <c r="W82" s="85"/>
      <c r="X82" s="85"/>
      <c r="Y82" s="98"/>
      <c r="Z82" s="98"/>
      <c r="AA82" s="98"/>
    </row>
    <row r="83" spans="1:27" ht="14.25" hidden="1" customHeight="1">
      <c r="A83" s="209" t="s">
        <v>167</v>
      </c>
      <c r="B83" s="210"/>
      <c r="C83" s="211"/>
      <c r="D83" s="82"/>
      <c r="E83" s="82" t="s">
        <v>116</v>
      </c>
      <c r="F83" s="82" t="s">
        <v>116</v>
      </c>
      <c r="G83" s="82"/>
      <c r="H83" s="82"/>
      <c r="I83" s="82"/>
      <c r="J83" s="82"/>
      <c r="K83" s="82"/>
      <c r="L83" s="82"/>
      <c r="M83" s="82"/>
      <c r="N83" s="82"/>
      <c r="O83" s="82"/>
      <c r="P83" s="101"/>
      <c r="Q83" s="101"/>
      <c r="R83" s="82"/>
      <c r="S83" s="82"/>
      <c r="T83" s="82"/>
      <c r="U83" s="82"/>
      <c r="V83" s="82"/>
      <c r="W83" s="82"/>
      <c r="X83" s="82"/>
      <c r="Y83" s="90"/>
      <c r="Z83" s="90"/>
      <c r="AA83" s="90"/>
    </row>
    <row r="84" spans="1:27" ht="15.75" hidden="1" customHeight="1">
      <c r="A84" s="82" t="s">
        <v>168</v>
      </c>
      <c r="B84" s="212" t="s">
        <v>119</v>
      </c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3"/>
      <c r="T84" s="213"/>
      <c r="U84" s="213"/>
      <c r="V84" s="213"/>
      <c r="W84" s="213"/>
      <c r="X84" s="214"/>
      <c r="Y84" s="100"/>
      <c r="Z84" s="100"/>
      <c r="AA84" s="100"/>
    </row>
    <row r="85" spans="1:27" ht="18.75" hidden="1" customHeight="1">
      <c r="A85" s="85"/>
      <c r="B85" s="113"/>
      <c r="C85" s="82"/>
      <c r="D85" s="82"/>
      <c r="E85" s="96" t="s">
        <v>116</v>
      </c>
      <c r="F85" s="96" t="s">
        <v>116</v>
      </c>
      <c r="G85" s="96" t="s">
        <v>116</v>
      </c>
      <c r="H85" s="96" t="s">
        <v>116</v>
      </c>
      <c r="I85" s="96" t="s">
        <v>116</v>
      </c>
      <c r="J85" s="96" t="s">
        <v>116</v>
      </c>
      <c r="K85" s="96" t="s">
        <v>116</v>
      </c>
      <c r="L85" s="96" t="s">
        <v>116</v>
      </c>
      <c r="M85" s="96" t="s">
        <v>116</v>
      </c>
      <c r="N85" s="82"/>
      <c r="O85" s="82"/>
      <c r="P85" s="101"/>
      <c r="Q85" s="101"/>
      <c r="R85" s="101"/>
      <c r="S85" s="114"/>
      <c r="T85" s="82"/>
      <c r="U85" s="82"/>
      <c r="V85" s="82"/>
      <c r="W85" s="82"/>
      <c r="X85" s="115"/>
      <c r="Y85" s="98"/>
      <c r="Z85" s="98"/>
      <c r="AA85" s="98"/>
    </row>
    <row r="86" spans="1:27" ht="12.75" hidden="1" customHeight="1">
      <c r="A86" s="209" t="s">
        <v>169</v>
      </c>
      <c r="B86" s="210"/>
      <c r="C86" s="211"/>
      <c r="D86" s="82"/>
      <c r="E86" s="82" t="s">
        <v>116</v>
      </c>
      <c r="F86" s="82" t="s">
        <v>116</v>
      </c>
      <c r="G86" s="82"/>
      <c r="H86" s="82"/>
      <c r="I86" s="82"/>
      <c r="J86" s="82"/>
      <c r="K86" s="82"/>
      <c r="L86" s="82"/>
      <c r="M86" s="82"/>
      <c r="N86" s="82"/>
      <c r="O86" s="82"/>
      <c r="P86" s="101"/>
      <c r="Q86" s="101"/>
      <c r="R86" s="101"/>
      <c r="S86" s="114"/>
      <c r="T86" s="82"/>
      <c r="U86" s="82"/>
      <c r="V86" s="82"/>
      <c r="W86" s="82"/>
      <c r="X86" s="115"/>
      <c r="Y86" s="90"/>
      <c r="Z86" s="90"/>
      <c r="AA86" s="90"/>
    </row>
    <row r="87" spans="1:27" hidden="1">
      <c r="A87" s="92" t="s">
        <v>170</v>
      </c>
      <c r="B87" s="209" t="s">
        <v>122</v>
      </c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1"/>
      <c r="Y87" s="100"/>
      <c r="Z87" s="100"/>
      <c r="AA87" s="100"/>
    </row>
    <row r="88" spans="1:27" hidden="1">
      <c r="A88" s="85"/>
      <c r="B88" s="85"/>
      <c r="C88" s="85"/>
      <c r="D88" s="85"/>
      <c r="E88" s="96" t="s">
        <v>116</v>
      </c>
      <c r="F88" s="96" t="s">
        <v>116</v>
      </c>
      <c r="G88" s="96" t="s">
        <v>116</v>
      </c>
      <c r="H88" s="96" t="s">
        <v>116</v>
      </c>
      <c r="I88" s="96" t="s">
        <v>116</v>
      </c>
      <c r="J88" s="96" t="s">
        <v>116</v>
      </c>
      <c r="K88" s="96" t="s">
        <v>116</v>
      </c>
      <c r="L88" s="96" t="s">
        <v>116</v>
      </c>
      <c r="M88" s="96" t="s">
        <v>116</v>
      </c>
      <c r="N88" s="85"/>
      <c r="O88" s="85"/>
      <c r="P88" s="97"/>
      <c r="Q88" s="97"/>
      <c r="R88" s="85"/>
      <c r="S88" s="85"/>
      <c r="T88" s="85"/>
      <c r="U88" s="85"/>
      <c r="V88" s="85"/>
      <c r="W88" s="85"/>
      <c r="X88" s="85"/>
      <c r="Y88" s="98"/>
      <c r="Z88" s="98"/>
      <c r="AA88" s="98"/>
    </row>
    <row r="89" spans="1:27" ht="12.75" hidden="1" customHeight="1">
      <c r="A89" s="209" t="s">
        <v>171</v>
      </c>
      <c r="B89" s="210"/>
      <c r="C89" s="211"/>
      <c r="D89" s="82"/>
      <c r="E89" s="82" t="s">
        <v>116</v>
      </c>
      <c r="F89" s="82" t="s">
        <v>116</v>
      </c>
      <c r="G89" s="82"/>
      <c r="H89" s="82"/>
      <c r="I89" s="82"/>
      <c r="J89" s="82"/>
      <c r="K89" s="82"/>
      <c r="L89" s="82"/>
      <c r="M89" s="82"/>
      <c r="N89" s="82"/>
      <c r="O89" s="82"/>
      <c r="P89" s="101"/>
      <c r="Q89" s="101"/>
      <c r="R89" s="82"/>
      <c r="S89" s="82"/>
      <c r="T89" s="82"/>
      <c r="U89" s="82"/>
      <c r="V89" s="82"/>
      <c r="W89" s="82"/>
      <c r="X89" s="82"/>
      <c r="Y89" s="90"/>
      <c r="Z89" s="90"/>
      <c r="AA89" s="90"/>
    </row>
    <row r="90" spans="1:27" ht="12" hidden="1" customHeight="1">
      <c r="A90" s="215" t="s">
        <v>172</v>
      </c>
      <c r="B90" s="216"/>
      <c r="C90" s="217"/>
      <c r="D90" s="82"/>
      <c r="E90" s="82" t="s">
        <v>116</v>
      </c>
      <c r="F90" s="82" t="s">
        <v>116</v>
      </c>
      <c r="G90" s="82"/>
      <c r="H90" s="82"/>
      <c r="I90" s="82"/>
      <c r="J90" s="82"/>
      <c r="K90" s="82"/>
      <c r="L90" s="82"/>
      <c r="M90" s="82"/>
      <c r="N90" s="82"/>
      <c r="O90" s="82"/>
      <c r="P90" s="101"/>
      <c r="Q90" s="101"/>
      <c r="R90" s="82"/>
      <c r="S90" s="82"/>
      <c r="T90" s="82"/>
      <c r="U90" s="82"/>
      <c r="V90" s="82"/>
      <c r="W90" s="82"/>
      <c r="X90" s="82"/>
      <c r="Y90" s="90"/>
      <c r="Z90" s="90"/>
      <c r="AA90" s="90"/>
    </row>
    <row r="91" spans="1:27" ht="14.25" hidden="1" customHeight="1">
      <c r="A91" s="92" t="s">
        <v>173</v>
      </c>
      <c r="B91" s="218" t="s">
        <v>126</v>
      </c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20"/>
      <c r="Y91" s="100"/>
      <c r="Z91" s="100"/>
      <c r="AA91" s="100"/>
    </row>
    <row r="92" spans="1:27" ht="15" hidden="1" customHeight="1">
      <c r="A92" s="102" t="s">
        <v>174</v>
      </c>
      <c r="B92" s="212" t="s">
        <v>115</v>
      </c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4"/>
    </row>
    <row r="93" spans="1:27" hidden="1">
      <c r="A93" s="85"/>
      <c r="B93" s="85"/>
      <c r="C93" s="85"/>
      <c r="D93" s="85"/>
      <c r="E93" s="96" t="s">
        <v>116</v>
      </c>
      <c r="F93" s="96" t="s">
        <v>116</v>
      </c>
      <c r="G93" s="96" t="s">
        <v>116</v>
      </c>
      <c r="H93" s="96" t="s">
        <v>116</v>
      </c>
      <c r="I93" s="96" t="s">
        <v>116</v>
      </c>
      <c r="J93" s="96" t="s">
        <v>116</v>
      </c>
      <c r="K93" s="96" t="s">
        <v>116</v>
      </c>
      <c r="L93" s="96" t="s">
        <v>116</v>
      </c>
      <c r="M93" s="96" t="s">
        <v>116</v>
      </c>
      <c r="N93" s="85"/>
      <c r="O93" s="85"/>
      <c r="P93" s="97"/>
      <c r="Q93" s="97"/>
      <c r="R93" s="85"/>
      <c r="S93" s="85"/>
      <c r="T93" s="85"/>
      <c r="U93" s="85"/>
      <c r="V93" s="85"/>
      <c r="W93" s="85"/>
      <c r="X93" s="85"/>
      <c r="Y93" s="98"/>
      <c r="Z93" s="98"/>
      <c r="AA93" s="98"/>
    </row>
    <row r="94" spans="1:27" ht="14.25" hidden="1" customHeight="1">
      <c r="A94" s="209" t="s">
        <v>175</v>
      </c>
      <c r="B94" s="210"/>
      <c r="C94" s="211"/>
      <c r="D94" s="82"/>
      <c r="E94" s="82" t="s">
        <v>116</v>
      </c>
      <c r="F94" s="82" t="s">
        <v>116</v>
      </c>
      <c r="G94" s="82"/>
      <c r="H94" s="82"/>
      <c r="I94" s="82"/>
      <c r="J94" s="82"/>
      <c r="K94" s="82"/>
      <c r="L94" s="82"/>
      <c r="M94" s="82"/>
      <c r="N94" s="82"/>
      <c r="O94" s="82"/>
      <c r="P94" s="101"/>
      <c r="Q94" s="101"/>
      <c r="R94" s="82"/>
      <c r="S94" s="82"/>
      <c r="T94" s="82"/>
      <c r="U94" s="82"/>
      <c r="V94" s="82"/>
      <c r="W94" s="82"/>
      <c r="X94" s="82"/>
      <c r="Y94" s="90"/>
      <c r="Z94" s="90"/>
      <c r="AA94" s="90"/>
    </row>
    <row r="95" spans="1:27" ht="15.6" hidden="1">
      <c r="A95" s="98"/>
      <c r="B95" s="98"/>
      <c r="C95" s="98"/>
      <c r="D95" s="98"/>
      <c r="E95" s="116"/>
      <c r="F95" s="116"/>
      <c r="G95" s="116"/>
      <c r="H95" s="116"/>
      <c r="I95" s="116"/>
      <c r="J95" s="116"/>
      <c r="K95" s="117">
        <v>3</v>
      </c>
      <c r="L95" s="116"/>
      <c r="M95" s="116"/>
      <c r="N95" s="98"/>
      <c r="O95" s="224" t="s">
        <v>134</v>
      </c>
      <c r="P95" s="224"/>
      <c r="Q95" s="224"/>
      <c r="R95" s="224"/>
      <c r="S95" s="224"/>
      <c r="T95" s="224"/>
      <c r="U95" s="224"/>
      <c r="V95" s="224"/>
      <c r="W95" s="224"/>
      <c r="X95" s="224"/>
      <c r="Y95" s="98"/>
      <c r="Z95" s="98"/>
      <c r="AA95" s="98"/>
    </row>
    <row r="96" spans="1:27" ht="15.75" hidden="1" customHeight="1">
      <c r="A96" s="85">
        <v>1</v>
      </c>
      <c r="B96" s="85">
        <v>2</v>
      </c>
      <c r="C96" s="85">
        <v>3</v>
      </c>
      <c r="D96" s="85">
        <v>4</v>
      </c>
      <c r="E96" s="85">
        <v>5</v>
      </c>
      <c r="F96" s="85">
        <v>6</v>
      </c>
      <c r="G96" s="86">
        <v>7</v>
      </c>
      <c r="H96" s="85">
        <v>8</v>
      </c>
      <c r="I96" s="85">
        <v>9</v>
      </c>
      <c r="J96" s="85">
        <v>10</v>
      </c>
      <c r="K96" s="87">
        <v>11</v>
      </c>
      <c r="L96" s="87">
        <v>12</v>
      </c>
      <c r="M96" s="87">
        <v>13</v>
      </c>
      <c r="N96" s="88">
        <v>14</v>
      </c>
      <c r="O96" s="88">
        <v>15</v>
      </c>
      <c r="P96" s="88">
        <v>16</v>
      </c>
      <c r="Q96" s="88">
        <v>17</v>
      </c>
      <c r="R96" s="88">
        <v>18</v>
      </c>
      <c r="S96" s="88">
        <v>19</v>
      </c>
      <c r="T96" s="88">
        <v>20</v>
      </c>
      <c r="U96" s="88">
        <v>21</v>
      </c>
      <c r="V96" s="88">
        <v>22</v>
      </c>
      <c r="W96" s="88">
        <v>23</v>
      </c>
      <c r="X96" s="88">
        <v>24</v>
      </c>
      <c r="Y96" s="98"/>
      <c r="Z96" s="98"/>
      <c r="AA96" s="98"/>
    </row>
    <row r="97" spans="1:27" ht="16.5" hidden="1" customHeight="1">
      <c r="A97" s="84" t="s">
        <v>176</v>
      </c>
      <c r="B97" s="212" t="s">
        <v>119</v>
      </c>
      <c r="C97" s="213"/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4"/>
    </row>
    <row r="98" spans="1:27" ht="17.25" hidden="1" customHeight="1">
      <c r="A98" s="85"/>
      <c r="B98" s="104"/>
      <c r="C98" s="105"/>
      <c r="D98" s="85"/>
      <c r="E98" s="118" t="s">
        <v>116</v>
      </c>
      <c r="F98" s="118" t="s">
        <v>116</v>
      </c>
      <c r="G98" s="118" t="s">
        <v>116</v>
      </c>
      <c r="H98" s="118" t="s">
        <v>116</v>
      </c>
      <c r="I98" s="118" t="s">
        <v>116</v>
      </c>
      <c r="J98" s="118" t="s">
        <v>116</v>
      </c>
      <c r="K98" s="118" t="s">
        <v>116</v>
      </c>
      <c r="L98" s="118" t="s">
        <v>116</v>
      </c>
      <c r="M98" s="118" t="s">
        <v>116</v>
      </c>
      <c r="N98" s="85"/>
      <c r="O98" s="110"/>
      <c r="P98" s="97"/>
      <c r="Q98" s="97"/>
      <c r="R98" s="97"/>
      <c r="S98" s="110"/>
      <c r="T98" s="85"/>
      <c r="U98" s="85"/>
      <c r="V98" s="85"/>
      <c r="W98" s="85"/>
      <c r="X98" s="119"/>
      <c r="Y98" s="98"/>
      <c r="Z98" s="98"/>
      <c r="AA98" s="98"/>
    </row>
    <row r="99" spans="1:27" ht="14.25" hidden="1" customHeight="1">
      <c r="A99" s="215" t="s">
        <v>177</v>
      </c>
      <c r="B99" s="216"/>
      <c r="C99" s="217"/>
      <c r="D99" s="85"/>
      <c r="E99" s="85" t="s">
        <v>116</v>
      </c>
      <c r="F99" s="85" t="s">
        <v>116</v>
      </c>
      <c r="G99" s="85"/>
      <c r="H99" s="85"/>
      <c r="I99" s="85"/>
      <c r="J99" s="85"/>
      <c r="K99" s="85"/>
      <c r="L99" s="85"/>
      <c r="M99" s="85"/>
      <c r="N99" s="85"/>
      <c r="O99" s="85"/>
      <c r="P99" s="97"/>
      <c r="Q99" s="97"/>
      <c r="R99" s="97"/>
      <c r="S99" s="110"/>
      <c r="T99" s="85"/>
      <c r="U99" s="85"/>
      <c r="V99" s="85"/>
      <c r="W99" s="85"/>
      <c r="X99" s="119"/>
      <c r="Y99" s="90"/>
      <c r="Z99" s="90"/>
      <c r="AA99" s="90"/>
    </row>
    <row r="100" spans="1:27" ht="14.25" hidden="1" customHeight="1">
      <c r="A100" s="85" t="s">
        <v>178</v>
      </c>
      <c r="B100" s="218" t="s">
        <v>132</v>
      </c>
      <c r="C100" s="219"/>
      <c r="D100" s="219"/>
      <c r="E100" s="219"/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20"/>
    </row>
    <row r="101" spans="1:27" hidden="1">
      <c r="A101" s="85"/>
      <c r="B101" s="85"/>
      <c r="C101" s="85"/>
      <c r="D101" s="85"/>
      <c r="E101" s="96" t="s">
        <v>116</v>
      </c>
      <c r="F101" s="96" t="s">
        <v>116</v>
      </c>
      <c r="G101" s="96" t="s">
        <v>116</v>
      </c>
      <c r="H101" s="96" t="s">
        <v>116</v>
      </c>
      <c r="I101" s="96" t="s">
        <v>116</v>
      </c>
      <c r="J101" s="96" t="s">
        <v>116</v>
      </c>
      <c r="K101" s="96" t="s">
        <v>116</v>
      </c>
      <c r="L101" s="96" t="s">
        <v>116</v>
      </c>
      <c r="M101" s="96" t="s">
        <v>116</v>
      </c>
      <c r="N101" s="85"/>
      <c r="O101" s="85"/>
      <c r="P101" s="97"/>
      <c r="Q101" s="97"/>
      <c r="R101" s="85"/>
      <c r="S101" s="85"/>
      <c r="T101" s="85"/>
      <c r="U101" s="85"/>
      <c r="V101" s="85"/>
      <c r="W101" s="85"/>
      <c r="X101" s="85"/>
      <c r="Y101" s="98"/>
      <c r="Z101" s="98"/>
      <c r="AA101" s="98"/>
    </row>
    <row r="102" spans="1:27" ht="12.75" hidden="1" customHeight="1">
      <c r="A102" s="209" t="s">
        <v>179</v>
      </c>
      <c r="B102" s="210"/>
      <c r="C102" s="211"/>
      <c r="D102" s="82"/>
      <c r="E102" s="82" t="s">
        <v>116</v>
      </c>
      <c r="F102" s="82" t="s">
        <v>116</v>
      </c>
      <c r="G102" s="82"/>
      <c r="H102" s="82"/>
      <c r="I102" s="82"/>
      <c r="J102" s="82"/>
      <c r="K102" s="82"/>
      <c r="L102" s="82"/>
      <c r="M102" s="82"/>
      <c r="N102" s="82"/>
      <c r="O102" s="82"/>
      <c r="P102" s="101"/>
      <c r="Q102" s="101"/>
      <c r="R102" s="82"/>
      <c r="S102" s="82"/>
      <c r="T102" s="82"/>
      <c r="U102" s="82"/>
      <c r="V102" s="82"/>
      <c r="W102" s="82"/>
      <c r="X102" s="82"/>
      <c r="Y102" s="90"/>
      <c r="Z102" s="90"/>
      <c r="AA102" s="90"/>
    </row>
    <row r="103" spans="1:27" hidden="1">
      <c r="A103" s="84"/>
      <c r="B103" s="84"/>
      <c r="C103" s="84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82"/>
      <c r="O103" s="82"/>
      <c r="P103" s="101"/>
      <c r="Q103" s="101"/>
      <c r="R103" s="82"/>
      <c r="S103" s="112"/>
      <c r="T103" s="111"/>
      <c r="U103" s="111"/>
      <c r="V103" s="111"/>
      <c r="W103" s="111"/>
      <c r="X103" s="111"/>
    </row>
    <row r="104" spans="1:27" ht="17.25" hidden="1" customHeight="1">
      <c r="A104" s="84" t="s">
        <v>180</v>
      </c>
      <c r="B104" s="212" t="s">
        <v>136</v>
      </c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4"/>
    </row>
    <row r="105" spans="1:27" hidden="1">
      <c r="A105" s="85"/>
      <c r="B105" s="85"/>
      <c r="C105" s="85"/>
      <c r="D105" s="85"/>
      <c r="E105" s="96" t="s">
        <v>116</v>
      </c>
      <c r="F105" s="96" t="s">
        <v>116</v>
      </c>
      <c r="G105" s="96" t="s">
        <v>116</v>
      </c>
      <c r="H105" s="96" t="s">
        <v>116</v>
      </c>
      <c r="I105" s="96" t="s">
        <v>116</v>
      </c>
      <c r="J105" s="96" t="s">
        <v>116</v>
      </c>
      <c r="K105" s="96" t="s">
        <v>116</v>
      </c>
      <c r="L105" s="96" t="s">
        <v>116</v>
      </c>
      <c r="M105" s="96" t="s">
        <v>116</v>
      </c>
      <c r="N105" s="85"/>
      <c r="O105" s="85"/>
      <c r="P105" s="97"/>
      <c r="Q105" s="97"/>
      <c r="R105" s="85"/>
      <c r="S105" s="85"/>
      <c r="T105" s="85"/>
      <c r="U105" s="85"/>
      <c r="V105" s="85"/>
      <c r="W105" s="85"/>
      <c r="X105" s="85"/>
      <c r="Y105" s="98"/>
      <c r="Z105" s="98"/>
      <c r="AA105" s="98"/>
    </row>
    <row r="106" spans="1:27" ht="12.75" hidden="1" customHeight="1">
      <c r="A106" s="209" t="s">
        <v>181</v>
      </c>
      <c r="B106" s="210"/>
      <c r="C106" s="211"/>
      <c r="D106" s="82"/>
      <c r="E106" s="82" t="s">
        <v>116</v>
      </c>
      <c r="F106" s="82" t="s">
        <v>116</v>
      </c>
      <c r="G106" s="82"/>
      <c r="H106" s="82"/>
      <c r="I106" s="82"/>
      <c r="J106" s="82"/>
      <c r="K106" s="82"/>
      <c r="L106" s="82"/>
      <c r="M106" s="82"/>
      <c r="N106" s="82"/>
      <c r="O106" s="82"/>
      <c r="P106" s="101"/>
      <c r="Q106" s="101"/>
      <c r="R106" s="82"/>
      <c r="S106" s="82"/>
      <c r="T106" s="82"/>
      <c r="U106" s="82"/>
      <c r="V106" s="82"/>
      <c r="W106" s="82"/>
      <c r="X106" s="82"/>
      <c r="Y106" s="90"/>
      <c r="Z106" s="90"/>
      <c r="AA106" s="90"/>
    </row>
    <row r="107" spans="1:27" ht="13.5" hidden="1" customHeight="1">
      <c r="A107" s="82" t="s">
        <v>182</v>
      </c>
      <c r="B107" s="209" t="s">
        <v>122</v>
      </c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1"/>
      <c r="Y107" s="90"/>
      <c r="Z107" s="90"/>
      <c r="AA107" s="90"/>
    </row>
    <row r="108" spans="1:27" hidden="1">
      <c r="A108" s="85"/>
      <c r="B108" s="85"/>
      <c r="C108" s="85"/>
      <c r="D108" s="85"/>
      <c r="E108" s="96" t="s">
        <v>116</v>
      </c>
      <c r="F108" s="96" t="s">
        <v>116</v>
      </c>
      <c r="G108" s="96" t="s">
        <v>116</v>
      </c>
      <c r="H108" s="96" t="s">
        <v>116</v>
      </c>
      <c r="I108" s="96" t="s">
        <v>116</v>
      </c>
      <c r="J108" s="96" t="s">
        <v>116</v>
      </c>
      <c r="K108" s="96" t="s">
        <v>116</v>
      </c>
      <c r="L108" s="96" t="s">
        <v>116</v>
      </c>
      <c r="M108" s="96" t="s">
        <v>116</v>
      </c>
      <c r="N108" s="85"/>
      <c r="O108" s="85"/>
      <c r="P108" s="97"/>
      <c r="Q108" s="97"/>
      <c r="R108" s="85"/>
      <c r="S108" s="85"/>
      <c r="T108" s="85"/>
      <c r="U108" s="85"/>
      <c r="V108" s="85"/>
      <c r="W108" s="85"/>
      <c r="X108" s="85"/>
      <c r="Y108" s="98"/>
      <c r="Z108" s="98"/>
      <c r="AA108" s="98"/>
    </row>
    <row r="109" spans="1:27" ht="15.75" hidden="1" customHeight="1">
      <c r="A109" s="223" t="s">
        <v>183</v>
      </c>
      <c r="B109" s="223"/>
      <c r="C109" s="223"/>
      <c r="D109" s="82"/>
      <c r="E109" s="82" t="s">
        <v>116</v>
      </c>
      <c r="F109" s="82" t="s">
        <v>116</v>
      </c>
      <c r="G109" s="82"/>
      <c r="H109" s="82"/>
      <c r="I109" s="82"/>
      <c r="J109" s="82"/>
      <c r="K109" s="82"/>
      <c r="L109" s="82"/>
      <c r="M109" s="82"/>
      <c r="N109" s="82"/>
      <c r="O109" s="82"/>
      <c r="P109" s="101"/>
      <c r="Q109" s="101"/>
      <c r="R109" s="82"/>
      <c r="S109" s="82"/>
      <c r="T109" s="82"/>
      <c r="U109" s="82"/>
      <c r="V109" s="82"/>
      <c r="W109" s="82"/>
      <c r="X109" s="82"/>
      <c r="Y109" s="90"/>
      <c r="Z109" s="90"/>
      <c r="AA109" s="90"/>
    </row>
    <row r="110" spans="1:27" ht="15" hidden="1" customHeight="1">
      <c r="A110" s="223" t="s">
        <v>184</v>
      </c>
      <c r="B110" s="223"/>
      <c r="C110" s="223"/>
      <c r="D110" s="82"/>
      <c r="E110" s="82" t="s">
        <v>155</v>
      </c>
      <c r="F110" s="82" t="s">
        <v>155</v>
      </c>
      <c r="G110" s="82"/>
      <c r="H110" s="82"/>
      <c r="I110" s="82"/>
      <c r="J110" s="82"/>
      <c r="K110" s="82"/>
      <c r="L110" s="82"/>
      <c r="M110" s="82"/>
      <c r="N110" s="82"/>
      <c r="O110" s="82"/>
      <c r="P110" s="101"/>
      <c r="Q110" s="101"/>
      <c r="R110" s="82"/>
      <c r="S110" s="82"/>
      <c r="T110" s="82"/>
      <c r="U110" s="82"/>
      <c r="V110" s="82"/>
      <c r="W110" s="82"/>
      <c r="X110" s="82"/>
      <c r="Y110" s="90"/>
      <c r="Z110" s="90"/>
      <c r="AA110" s="90"/>
    </row>
    <row r="111" spans="1:27" hidden="1">
      <c r="A111" s="215" t="s">
        <v>185</v>
      </c>
      <c r="B111" s="216"/>
      <c r="C111" s="217"/>
      <c r="D111" s="85"/>
      <c r="E111" s="85" t="s">
        <v>116</v>
      </c>
      <c r="F111" s="85" t="s">
        <v>116</v>
      </c>
      <c r="G111" s="85"/>
      <c r="H111" s="85"/>
      <c r="I111" s="85"/>
      <c r="J111" s="85"/>
      <c r="K111" s="85"/>
      <c r="L111" s="85"/>
      <c r="M111" s="85"/>
      <c r="N111" s="85"/>
      <c r="O111" s="85"/>
      <c r="P111" s="97"/>
      <c r="Q111" s="97"/>
      <c r="R111" s="97"/>
      <c r="S111" s="107"/>
      <c r="T111" s="85"/>
      <c r="U111" s="85"/>
      <c r="V111" s="85"/>
      <c r="W111" s="85"/>
      <c r="X111" s="119"/>
      <c r="Y111" s="98"/>
      <c r="Z111" s="98"/>
      <c r="AA111" s="98"/>
    </row>
    <row r="112" spans="1:27" hidden="1">
      <c r="A112" s="221" t="s">
        <v>186</v>
      </c>
      <c r="B112" s="221"/>
      <c r="C112" s="221"/>
      <c r="D112" s="85">
        <v>6043.5940000000001</v>
      </c>
      <c r="E112" s="82">
        <v>1487.6510000000001</v>
      </c>
      <c r="F112" s="82" t="s">
        <v>116</v>
      </c>
      <c r="G112" s="82"/>
      <c r="H112" s="82"/>
      <c r="I112" s="82"/>
      <c r="J112" s="82">
        <v>4555.9430000000002</v>
      </c>
      <c r="K112" s="82"/>
      <c r="L112" s="82"/>
      <c r="M112" s="82">
        <v>1487.6510000000001</v>
      </c>
      <c r="N112" s="82"/>
      <c r="O112" s="85">
        <v>6043.5940000000001</v>
      </c>
      <c r="P112" s="101"/>
      <c r="Q112" s="101"/>
      <c r="R112" s="82"/>
      <c r="S112" s="85">
        <v>6043.5940000000001</v>
      </c>
      <c r="T112" s="82">
        <v>48</v>
      </c>
      <c r="U112" s="82"/>
      <c r="V112" s="106"/>
      <c r="W112" s="85"/>
      <c r="X112" s="85">
        <v>371.91300000000001</v>
      </c>
      <c r="Y112" s="98"/>
      <c r="Z112" s="98"/>
      <c r="AA112" s="98"/>
    </row>
    <row r="113" spans="1:27" ht="24" hidden="1">
      <c r="A113" s="120" t="s">
        <v>187</v>
      </c>
      <c r="B113" s="120"/>
      <c r="C113" s="120"/>
      <c r="D113" s="120"/>
      <c r="E113" s="120"/>
      <c r="F113" s="120"/>
      <c r="G113" s="120"/>
      <c r="H113" s="98"/>
      <c r="I113" s="98"/>
      <c r="J113" s="98"/>
      <c r="K113" s="98"/>
      <c r="L113" s="98"/>
      <c r="M113" s="98"/>
      <c r="N113" s="98"/>
      <c r="O113" s="98"/>
      <c r="P113" s="95"/>
      <c r="Q113" s="95"/>
      <c r="R113" s="98"/>
      <c r="S113" s="98"/>
      <c r="T113" s="98"/>
      <c r="U113" s="98"/>
      <c r="V113" s="98"/>
      <c r="W113" s="98"/>
      <c r="X113" s="98"/>
      <c r="Y113" s="98"/>
      <c r="Z113" s="98"/>
      <c r="AA113" s="98"/>
    </row>
    <row r="114" spans="1:27" hidden="1">
      <c r="A114" s="121" t="s">
        <v>188</v>
      </c>
      <c r="B114" s="90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5"/>
      <c r="Q114" s="95"/>
      <c r="R114" s="98"/>
      <c r="S114" s="98"/>
      <c r="T114" s="98"/>
      <c r="U114" s="98"/>
      <c r="V114" s="98"/>
      <c r="W114" s="98"/>
      <c r="X114" s="98"/>
      <c r="Y114" s="98"/>
      <c r="Z114" s="98"/>
      <c r="AA114" s="98"/>
    </row>
    <row r="115" spans="1:27" hidden="1">
      <c r="A115" s="121" t="s">
        <v>189</v>
      </c>
      <c r="B115" s="121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5"/>
      <c r="Q115" s="95"/>
      <c r="R115" s="98"/>
      <c r="S115" s="98"/>
      <c r="T115" s="98"/>
      <c r="U115" s="98"/>
      <c r="V115" s="98"/>
      <c r="W115" s="98"/>
      <c r="X115" s="98"/>
      <c r="Y115" s="98"/>
      <c r="Z115" s="98"/>
      <c r="AA115" s="98"/>
    </row>
    <row r="116" spans="1:27" ht="13.5" hidden="1" customHeight="1">
      <c r="A116" s="222" t="s">
        <v>190</v>
      </c>
      <c r="B116" s="222"/>
      <c r="C116" s="222"/>
      <c r="D116" s="222"/>
      <c r="E116" s="222"/>
      <c r="F116" s="222"/>
      <c r="G116" s="222"/>
      <c r="H116" s="222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</row>
    <row r="117" spans="1:27" ht="9.75" hidden="1" customHeight="1">
      <c r="A117" s="122"/>
      <c r="B117" s="122"/>
      <c r="C117" s="122"/>
      <c r="D117" s="122"/>
      <c r="E117" s="122"/>
      <c r="F117" s="122"/>
      <c r="G117" s="122"/>
      <c r="H117" s="122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</row>
    <row r="118" spans="1:27" s="125" customFormat="1" ht="31.5" customHeight="1">
      <c r="A118" s="226" t="s">
        <v>215</v>
      </c>
      <c r="B118" s="226"/>
      <c r="C118" s="226"/>
      <c r="D118" s="123"/>
      <c r="E118" s="227" t="s">
        <v>216</v>
      </c>
      <c r="F118" s="227"/>
      <c r="G118" s="227"/>
      <c r="H118" s="227"/>
      <c r="I118" s="227"/>
      <c r="J118" s="227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4"/>
      <c r="W118" s="124"/>
    </row>
    <row r="119" spans="1:27" s="125" customFormat="1" ht="12" customHeight="1">
      <c r="B119" s="136" t="s">
        <v>217</v>
      </c>
      <c r="C119" s="126"/>
      <c r="D119" s="127"/>
      <c r="E119" s="134" t="s">
        <v>191</v>
      </c>
      <c r="F119" s="128"/>
      <c r="G119" s="128"/>
      <c r="H119" s="135" t="s">
        <v>192</v>
      </c>
      <c r="I119" s="129"/>
      <c r="J119" s="129"/>
      <c r="K119" s="129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</row>
    <row r="122" spans="1:27">
      <c r="B122" s="131" t="s">
        <v>218</v>
      </c>
    </row>
    <row r="123" spans="1:27">
      <c r="B123" s="131" t="s">
        <v>219</v>
      </c>
    </row>
  </sheetData>
  <mergeCells count="113">
    <mergeCell ref="A11:U11"/>
    <mergeCell ref="I14:I17"/>
    <mergeCell ref="O14:O17"/>
    <mergeCell ref="H14:H17"/>
    <mergeCell ref="C1:D1"/>
    <mergeCell ref="O1:X1"/>
    <mergeCell ref="B3:E3"/>
    <mergeCell ref="N3:Q3"/>
    <mergeCell ref="B4:E4"/>
    <mergeCell ref="N5:Q5"/>
    <mergeCell ref="B6:E6"/>
    <mergeCell ref="P7:Q7"/>
    <mergeCell ref="A12:U12"/>
    <mergeCell ref="N14:N17"/>
    <mergeCell ref="A13:X13"/>
    <mergeCell ref="N8:S8"/>
    <mergeCell ref="S15:S17"/>
    <mergeCell ref="T14:T17"/>
    <mergeCell ref="M14:M17"/>
    <mergeCell ref="K14:K17"/>
    <mergeCell ref="G16:G17"/>
    <mergeCell ref="AD17:AD20"/>
    <mergeCell ref="B19:X19"/>
    <mergeCell ref="B20:X20"/>
    <mergeCell ref="E14:E17"/>
    <mergeCell ref="F14:G15"/>
    <mergeCell ref="X14:X17"/>
    <mergeCell ref="Z17:Z20"/>
    <mergeCell ref="A40:C40"/>
    <mergeCell ref="B31:X31"/>
    <mergeCell ref="B32:X32"/>
    <mergeCell ref="AC17:AC20"/>
    <mergeCell ref="U14:U17"/>
    <mergeCell ref="V14:V17"/>
    <mergeCell ref="P14:P17"/>
    <mergeCell ref="Q14:Q17"/>
    <mergeCell ref="AB17:AB20"/>
    <mergeCell ref="AA17:AA20"/>
    <mergeCell ref="A23:C23"/>
    <mergeCell ref="B21:X21"/>
    <mergeCell ref="A14:A17"/>
    <mergeCell ref="B14:B17"/>
    <mergeCell ref="C14:C17"/>
    <mergeCell ref="F16:F17"/>
    <mergeCell ref="L14:L17"/>
    <mergeCell ref="R14:S14"/>
    <mergeCell ref="J14:J17"/>
    <mergeCell ref="D15:D17"/>
    <mergeCell ref="R15:R17"/>
    <mergeCell ref="B56:X56"/>
    <mergeCell ref="B46:X46"/>
    <mergeCell ref="A48:C48"/>
    <mergeCell ref="A49:C49"/>
    <mergeCell ref="A50:C50"/>
    <mergeCell ref="B53:X53"/>
    <mergeCell ref="B24:X24"/>
    <mergeCell ref="A26:C26"/>
    <mergeCell ref="B27:X27"/>
    <mergeCell ref="A30:C30"/>
    <mergeCell ref="A29:C29"/>
    <mergeCell ref="W14:W17"/>
    <mergeCell ref="A77:C77"/>
    <mergeCell ref="A55:C55"/>
    <mergeCell ref="B62:X62"/>
    <mergeCell ref="A64:C64"/>
    <mergeCell ref="A34:C34"/>
    <mergeCell ref="B35:X35"/>
    <mergeCell ref="A37:C37"/>
    <mergeCell ref="A78:C78"/>
    <mergeCell ref="B79:X79"/>
    <mergeCell ref="B81:X81"/>
    <mergeCell ref="B65:X65"/>
    <mergeCell ref="A67:C67"/>
    <mergeCell ref="B74:X74"/>
    <mergeCell ref="A76:C76"/>
    <mergeCell ref="A69:C69"/>
    <mergeCell ref="B71:X71"/>
    <mergeCell ref="B80:X80"/>
    <mergeCell ref="B38:X38"/>
    <mergeCell ref="A118:C118"/>
    <mergeCell ref="E118:J118"/>
    <mergeCell ref="A106:C106"/>
    <mergeCell ref="B107:X107"/>
    <mergeCell ref="A110:C110"/>
    <mergeCell ref="A111:C111"/>
    <mergeCell ref="B84:X84"/>
    <mergeCell ref="A73:C73"/>
    <mergeCell ref="A45:C45"/>
    <mergeCell ref="A68:C68"/>
    <mergeCell ref="A86:C86"/>
    <mergeCell ref="O41:X41"/>
    <mergeCell ref="B43:X43"/>
    <mergeCell ref="A83:C83"/>
    <mergeCell ref="B59:X59"/>
    <mergeCell ref="A58:C58"/>
    <mergeCell ref="A61:C61"/>
    <mergeCell ref="B51:X51"/>
    <mergeCell ref="B52:X52"/>
    <mergeCell ref="A112:C112"/>
    <mergeCell ref="A116:H116"/>
    <mergeCell ref="A109:C109"/>
    <mergeCell ref="A102:C102"/>
    <mergeCell ref="B104:X104"/>
    <mergeCell ref="B91:X91"/>
    <mergeCell ref="O95:X95"/>
    <mergeCell ref="B97:X97"/>
    <mergeCell ref="A99:C99"/>
    <mergeCell ref="B87:X87"/>
    <mergeCell ref="A89:C89"/>
    <mergeCell ref="B92:X92"/>
    <mergeCell ref="A94:C94"/>
    <mergeCell ref="A90:C90"/>
    <mergeCell ref="B100:X100"/>
  </mergeCells>
  <phoneticPr fontId="14" type="noConversion"/>
  <pageMargins left="0.7" right="0.7" top="0.52" bottom="0.32" header="0.19" footer="0.19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30</vt:i4>
      </vt:variant>
    </vt:vector>
  </HeadingPairs>
  <TitlesOfParts>
    <vt:vector size="35" baseType="lpstr">
      <vt:lpstr>Лист1</vt:lpstr>
      <vt:lpstr>Лист2</vt:lpstr>
      <vt:lpstr>Лист2 (2)</vt:lpstr>
      <vt:lpstr>Лист2 (3)</vt:lpstr>
      <vt:lpstr>Лист3</vt:lpstr>
      <vt:lpstr>а</vt:lpstr>
      <vt:lpstr>а1</vt:lpstr>
      <vt:lpstr>а2</vt:lpstr>
      <vt:lpstr>а3</vt:lpstr>
      <vt:lpstr>'Лист2 (2)'!в</vt:lpstr>
      <vt:lpstr>'Лист2 (3)'!в</vt:lpstr>
      <vt:lpstr>в</vt:lpstr>
      <vt:lpstr>'Лист2 (2)'!в1</vt:lpstr>
      <vt:lpstr>'Лист2 (3)'!в1</vt:lpstr>
      <vt:lpstr>в1</vt:lpstr>
      <vt:lpstr>'Лист2 (2)'!в2</vt:lpstr>
      <vt:lpstr>'Лист2 (3)'!в2</vt:lpstr>
      <vt:lpstr>в2</vt:lpstr>
      <vt:lpstr>'Лист2 (2)'!в3</vt:lpstr>
      <vt:lpstr>'Лист2 (3)'!в3</vt:lpstr>
      <vt:lpstr>в3</vt:lpstr>
      <vt:lpstr>'Лист2 (2)'!г</vt:lpstr>
      <vt:lpstr>'Лист2 (3)'!г</vt:lpstr>
      <vt:lpstr>г</vt:lpstr>
      <vt:lpstr>'Лист2 (2)'!г1</vt:lpstr>
      <vt:lpstr>'Лист2 (3)'!г1</vt:lpstr>
      <vt:lpstr>г1</vt:lpstr>
      <vt:lpstr>'Лист2 (2)'!г2</vt:lpstr>
      <vt:lpstr>'Лист2 (3)'!г2</vt:lpstr>
      <vt:lpstr>г2</vt:lpstr>
      <vt:lpstr>'Лист2 (2)'!г3</vt:lpstr>
      <vt:lpstr>'Лист2 (3)'!г3</vt:lpstr>
      <vt:lpstr>г3</vt:lpstr>
      <vt:lpstr>'Лист2 (3)'!О</vt:lpstr>
      <vt:lpstr>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2016-10-27T07:51:25Z</cp:lastPrinted>
  <dcterms:created xsi:type="dcterms:W3CDTF">2006-09-16T00:00:00Z</dcterms:created>
  <dcterms:modified xsi:type="dcterms:W3CDTF">2018-08-10T12:26:56Z</dcterms:modified>
</cp:coreProperties>
</file>